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2"/>
  <workbookPr/>
  <mc:AlternateContent xmlns:mc="http://schemas.openxmlformats.org/markup-compatibility/2006">
    <mc:Choice Requires="x15">
      <x15ac:absPath xmlns:x15ac="http://schemas.microsoft.com/office/spreadsheetml/2010/11/ac" url="/Users/kpatton999/Library/Mobile Documents/com~apple~CloudDocs/HPPOA/Website - Current HPPOA.net/"/>
    </mc:Choice>
  </mc:AlternateContent>
  <xr:revisionPtr revIDLastSave="0" documentId="8_{80300BF9-F255-754D-B39D-315A00A2AF48}" xr6:coauthVersionLast="47" xr6:coauthVersionMax="47" xr10:uidLastSave="{00000000-0000-0000-0000-000000000000}"/>
  <bookViews>
    <workbookView xWindow="4740" yWindow="4300" windowWidth="33540" windowHeight="15840" activeTab="2" xr2:uid="{00000000-000D-0000-FFFF-FFFF00000000}"/>
  </bookViews>
  <sheets>
    <sheet name="Cover" sheetId="1" r:id="rId1"/>
    <sheet name="Budget Performance" sheetId="2" r:id="rId2"/>
    <sheet name="POST" sheetId="3" r:id="rId3"/>
  </sheets>
  <definedNames>
    <definedName name="_xlnm.Print_Area" localSheetId="1">'Budget Performance'!$A$1:$AC$213</definedName>
    <definedName name="_xlnm.Print_Titles" localSheetId="1">'Budget Performance'!$1:$6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00" i="3" l="1"/>
  <c r="AC199" i="3"/>
  <c r="AC198" i="3"/>
  <c r="T198" i="3" s="1"/>
  <c r="U198" i="3"/>
  <c r="S198" i="3"/>
  <c r="R198" i="3"/>
  <c r="Q198" i="3"/>
  <c r="P198" i="3"/>
  <c r="O198" i="3"/>
  <c r="N198" i="3"/>
  <c r="M198" i="3"/>
  <c r="L198" i="3"/>
  <c r="K198" i="3"/>
  <c r="J198" i="3"/>
  <c r="I198" i="3"/>
  <c r="H198" i="3"/>
  <c r="W198" i="3" s="1"/>
  <c r="AA197" i="3"/>
  <c r="W197" i="3"/>
  <c r="T197" i="3"/>
  <c r="AA196" i="3"/>
  <c r="W196" i="3"/>
  <c r="T196" i="3"/>
  <c r="AA195" i="3"/>
  <c r="W195" i="3"/>
  <c r="T195" i="3"/>
  <c r="AA194" i="3"/>
  <c r="W194" i="3"/>
  <c r="AC193" i="3"/>
  <c r="S193" i="3"/>
  <c r="S199" i="3" s="1"/>
  <c r="S200" i="3" s="1"/>
  <c r="R193" i="3"/>
  <c r="R199" i="3" s="1"/>
  <c r="R200" i="3" s="1"/>
  <c r="Q193" i="3"/>
  <c r="Q199" i="3" s="1"/>
  <c r="Q200" i="3" s="1"/>
  <c r="P193" i="3"/>
  <c r="P199" i="3" s="1"/>
  <c r="P200" i="3" s="1"/>
  <c r="O193" i="3"/>
  <c r="O199" i="3" s="1"/>
  <c r="O200" i="3" s="1"/>
  <c r="N193" i="3"/>
  <c r="N199" i="3" s="1"/>
  <c r="M193" i="3"/>
  <c r="M199" i="3" s="1"/>
  <c r="M200" i="3" s="1"/>
  <c r="L193" i="3"/>
  <c r="L199" i="3" s="1"/>
  <c r="L200" i="3" s="1"/>
  <c r="K193" i="3"/>
  <c r="K199" i="3" s="1"/>
  <c r="K200" i="3" s="1"/>
  <c r="J193" i="3"/>
  <c r="J199" i="3" s="1"/>
  <c r="J200" i="3" s="1"/>
  <c r="I193" i="3"/>
  <c r="I199" i="3" s="1"/>
  <c r="I200" i="3" s="1"/>
  <c r="H193" i="3"/>
  <c r="H199" i="3" s="1"/>
  <c r="H200" i="3" s="1"/>
  <c r="AC192" i="3"/>
  <c r="AB192" i="3"/>
  <c r="AB199" i="3" s="1"/>
  <c r="T192" i="3"/>
  <c r="S192" i="3"/>
  <c r="R192" i="3"/>
  <c r="Q192" i="3"/>
  <c r="P192" i="3"/>
  <c r="O192" i="3"/>
  <c r="N192" i="3"/>
  <c r="W192" i="3" s="1"/>
  <c r="Y192" i="3" s="1"/>
  <c r="M192" i="3"/>
  <c r="L192" i="3"/>
  <c r="K192" i="3"/>
  <c r="J192" i="3"/>
  <c r="I192" i="3"/>
  <c r="H192" i="3"/>
  <c r="AE191" i="3"/>
  <c r="AA191" i="3"/>
  <c r="U191" i="3" s="1"/>
  <c r="W191" i="3"/>
  <c r="Y191" i="3" s="1"/>
  <c r="T191" i="3"/>
  <c r="AA190" i="3"/>
  <c r="W190" i="3"/>
  <c r="T190" i="3"/>
  <c r="W188" i="3"/>
  <c r="U188" i="3" s="1"/>
  <c r="T188" i="3"/>
  <c r="AA187" i="3"/>
  <c r="W187" i="3"/>
  <c r="T187" i="3"/>
  <c r="AE186" i="3"/>
  <c r="AA186" i="3"/>
  <c r="W186" i="3"/>
  <c r="U186" i="3"/>
  <c r="T186" i="3"/>
  <c r="AE185" i="3"/>
  <c r="AA185" i="3"/>
  <c r="W185" i="3"/>
  <c r="Y185" i="3" s="1"/>
  <c r="T185" i="3"/>
  <c r="AA184" i="3"/>
  <c r="W184" i="3"/>
  <c r="T184" i="3"/>
  <c r="AA183" i="3"/>
  <c r="W183" i="3"/>
  <c r="U183" i="3" s="1"/>
  <c r="T183" i="3"/>
  <c r="AA181" i="3"/>
  <c r="Y181" i="3"/>
  <c r="W181" i="3"/>
  <c r="AE181" i="3" s="1"/>
  <c r="T181" i="3"/>
  <c r="AE180" i="3"/>
  <c r="AA180" i="3"/>
  <c r="U180" i="3" s="1"/>
  <c r="W180" i="3"/>
  <c r="Y180" i="3" s="1"/>
  <c r="T180" i="3"/>
  <c r="AA179" i="3"/>
  <c r="W179" i="3"/>
  <c r="T179" i="3"/>
  <c r="AA178" i="3"/>
  <c r="W178" i="3"/>
  <c r="U178" i="3" s="1"/>
  <c r="T178" i="3"/>
  <c r="AA177" i="3"/>
  <c r="Y177" i="3"/>
  <c r="W177" i="3"/>
  <c r="AE177" i="3" s="1"/>
  <c r="T177" i="3"/>
  <c r="AE176" i="3"/>
  <c r="AA176" i="3"/>
  <c r="U176" i="3" s="1"/>
  <c r="W176" i="3"/>
  <c r="Y176" i="3" s="1"/>
  <c r="T176" i="3"/>
  <c r="AA175" i="3"/>
  <c r="W175" i="3"/>
  <c r="T175" i="3"/>
  <c r="AA174" i="3"/>
  <c r="W174" i="3"/>
  <c r="U174" i="3" s="1"/>
  <c r="T174" i="3"/>
  <c r="T193" i="3" s="1"/>
  <c r="T199" i="3" s="1"/>
  <c r="AD171" i="3"/>
  <c r="U171" i="3"/>
  <c r="AC170" i="3"/>
  <c r="T170" i="3" s="1"/>
  <c r="AB170" i="3"/>
  <c r="R170" i="3"/>
  <c r="Q170" i="3"/>
  <c r="N170" i="3"/>
  <c r="J170" i="3"/>
  <c r="I170" i="3"/>
  <c r="AE169" i="3"/>
  <c r="AA169" i="3"/>
  <c r="U169" i="3" s="1"/>
  <c r="Y169" i="3"/>
  <c r="W169" i="3"/>
  <c r="T169" i="3"/>
  <c r="AE168" i="3"/>
  <c r="AA168" i="3"/>
  <c r="W168" i="3"/>
  <c r="Y168" i="3" s="1"/>
  <c r="T168" i="3"/>
  <c r="AE167" i="3"/>
  <c r="AA167" i="3"/>
  <c r="U167" i="3" s="1"/>
  <c r="Y167" i="3"/>
  <c r="W167" i="3"/>
  <c r="T167" i="3"/>
  <c r="AA166" i="3"/>
  <c r="Y166" i="3"/>
  <c r="W166" i="3"/>
  <c r="AE166" i="3" s="1"/>
  <c r="U166" i="3"/>
  <c r="T166" i="3"/>
  <c r="AE165" i="3"/>
  <c r="AA165" i="3"/>
  <c r="U165" i="3" s="1"/>
  <c r="Y165" i="3"/>
  <c r="W165" i="3"/>
  <c r="T165" i="3"/>
  <c r="AE164" i="3"/>
  <c r="AA164" i="3"/>
  <c r="W164" i="3"/>
  <c r="Y164" i="3" s="1"/>
  <c r="T164" i="3"/>
  <c r="AE163" i="3"/>
  <c r="AA163" i="3"/>
  <c r="U163" i="3" s="1"/>
  <c r="Y163" i="3"/>
  <c r="W163" i="3"/>
  <c r="T163" i="3"/>
  <c r="AA162" i="3"/>
  <c r="Y162" i="3"/>
  <c r="W162" i="3"/>
  <c r="AE162" i="3" s="1"/>
  <c r="U162" i="3"/>
  <c r="T162" i="3"/>
  <c r="AE161" i="3"/>
  <c r="AA161" i="3"/>
  <c r="U161" i="3" s="1"/>
  <c r="Y161" i="3"/>
  <c r="W161" i="3"/>
  <c r="T161" i="3"/>
  <c r="AE160" i="3"/>
  <c r="AE170" i="3" s="1"/>
  <c r="AC160" i="3"/>
  <c r="AB160" i="3"/>
  <c r="T160" i="3"/>
  <c r="S160" i="3"/>
  <c r="S170" i="3" s="1"/>
  <c r="R160" i="3"/>
  <c r="Q160" i="3"/>
  <c r="P160" i="3"/>
  <c r="P170" i="3" s="1"/>
  <c r="O160" i="3"/>
  <c r="O170" i="3" s="1"/>
  <c r="N160" i="3"/>
  <c r="M160" i="3"/>
  <c r="M170" i="3" s="1"/>
  <c r="L160" i="3"/>
  <c r="L170" i="3" s="1"/>
  <c r="K160" i="3"/>
  <c r="K170" i="3" s="1"/>
  <c r="J160" i="3"/>
  <c r="I160" i="3"/>
  <c r="H160" i="3"/>
  <c r="H170" i="3" s="1"/>
  <c r="AA159" i="3"/>
  <c r="Y159" i="3"/>
  <c r="W159" i="3"/>
  <c r="AE159" i="3" s="1"/>
  <c r="U159" i="3"/>
  <c r="T159" i="3"/>
  <c r="AE158" i="3"/>
  <c r="AA158" i="3"/>
  <c r="Y158" i="3"/>
  <c r="W158" i="3"/>
  <c r="U158" i="3"/>
  <c r="T158" i="3"/>
  <c r="AC155" i="3"/>
  <c r="AB155" i="3"/>
  <c r="T155" i="3"/>
  <c r="S155" i="3"/>
  <c r="R155" i="3"/>
  <c r="Q155" i="3"/>
  <c r="P155" i="3"/>
  <c r="O155" i="3"/>
  <c r="N155" i="3"/>
  <c r="M155" i="3"/>
  <c r="L155" i="3"/>
  <c r="K155" i="3"/>
  <c r="J155" i="3"/>
  <c r="I155" i="3"/>
  <c r="H155" i="3"/>
  <c r="AA154" i="3"/>
  <c r="U154" i="3" s="1"/>
  <c r="Y154" i="3"/>
  <c r="W154" i="3"/>
  <c r="AE154" i="3" s="1"/>
  <c r="T154" i="3"/>
  <c r="AE153" i="3"/>
  <c r="AA153" i="3"/>
  <c r="Y153" i="3"/>
  <c r="W153" i="3"/>
  <c r="U153" i="3"/>
  <c r="T153" i="3"/>
  <c r="AE152" i="3"/>
  <c r="AA152" i="3"/>
  <c r="W152" i="3"/>
  <c r="Y152" i="3" s="1"/>
  <c r="T152" i="3"/>
  <c r="AE151" i="3"/>
  <c r="AA151" i="3"/>
  <c r="U151" i="3" s="1"/>
  <c r="Y151" i="3"/>
  <c r="W151" i="3"/>
  <c r="T151" i="3"/>
  <c r="AA150" i="3"/>
  <c r="Y150" i="3"/>
  <c r="W150" i="3"/>
  <c r="AE150" i="3" s="1"/>
  <c r="U150" i="3"/>
  <c r="T150" i="3"/>
  <c r="AE149" i="3"/>
  <c r="AA149" i="3"/>
  <c r="AA155" i="3" s="1"/>
  <c r="Y149" i="3"/>
  <c r="W149" i="3"/>
  <c r="T149" i="3"/>
  <c r="AE148" i="3"/>
  <c r="AE155" i="3" s="1"/>
  <c r="AA148" i="3"/>
  <c r="W148" i="3"/>
  <c r="Y148" i="3" s="1"/>
  <c r="T148" i="3"/>
  <c r="AC146" i="3"/>
  <c r="T146" i="3" s="1"/>
  <c r="AB146" i="3"/>
  <c r="S146" i="3"/>
  <c r="R146" i="3"/>
  <c r="Q146" i="3"/>
  <c r="P146" i="3"/>
  <c r="O146" i="3"/>
  <c r="N146" i="3"/>
  <c r="M146" i="3"/>
  <c r="L146" i="3"/>
  <c r="K146" i="3"/>
  <c r="J146" i="3"/>
  <c r="I146" i="3"/>
  <c r="W146" i="3" s="1"/>
  <c r="H146" i="3"/>
  <c r="AC145" i="3"/>
  <c r="AE145" i="3" s="1"/>
  <c r="W145" i="3"/>
  <c r="T145" i="3"/>
  <c r="AA144" i="3"/>
  <c r="Y144" i="3"/>
  <c r="W144" i="3"/>
  <c r="AE144" i="3" s="1"/>
  <c r="T144" i="3"/>
  <c r="AE143" i="3"/>
  <c r="AA143" i="3"/>
  <c r="U143" i="3" s="1"/>
  <c r="W143" i="3"/>
  <c r="Y143" i="3" s="1"/>
  <c r="T143" i="3"/>
  <c r="AA142" i="3"/>
  <c r="W142" i="3"/>
  <c r="T142" i="3"/>
  <c r="AA141" i="3"/>
  <c r="W141" i="3"/>
  <c r="T141" i="3"/>
  <c r="AA140" i="3"/>
  <c r="Y140" i="3"/>
  <c r="W140" i="3"/>
  <c r="AE140" i="3" s="1"/>
  <c r="T140" i="3"/>
  <c r="AE139" i="3"/>
  <c r="AA139" i="3"/>
  <c r="W139" i="3"/>
  <c r="Y139" i="3" s="1"/>
  <c r="T139" i="3"/>
  <c r="AC137" i="3"/>
  <c r="T137" i="3" s="1"/>
  <c r="AB137" i="3"/>
  <c r="S137" i="3"/>
  <c r="R137" i="3"/>
  <c r="Q137" i="3"/>
  <c r="P137" i="3"/>
  <c r="O137" i="3"/>
  <c r="N137" i="3"/>
  <c r="M137" i="3"/>
  <c r="L137" i="3"/>
  <c r="K137" i="3"/>
  <c r="J137" i="3"/>
  <c r="I137" i="3"/>
  <c r="H137" i="3"/>
  <c r="W137" i="3" s="1"/>
  <c r="AC136" i="3"/>
  <c r="V136" i="3"/>
  <c r="S136" i="3"/>
  <c r="R136" i="3"/>
  <c r="Q136" i="3"/>
  <c r="P136" i="3"/>
  <c r="O136" i="3"/>
  <c r="N136" i="3"/>
  <c r="M136" i="3"/>
  <c r="L136" i="3"/>
  <c r="K136" i="3"/>
  <c r="J136" i="3"/>
  <c r="I136" i="3"/>
  <c r="H136" i="3"/>
  <c r="AA135" i="3"/>
  <c r="W135" i="3"/>
  <c r="T135" i="3"/>
  <c r="AA134" i="3"/>
  <c r="W134" i="3"/>
  <c r="T134" i="3"/>
  <c r="T136" i="3" s="1"/>
  <c r="AA132" i="3"/>
  <c r="Y132" i="3"/>
  <c r="W132" i="3"/>
  <c r="AE132" i="3" s="1"/>
  <c r="T132" i="3"/>
  <c r="AE131" i="3"/>
  <c r="AA131" i="3"/>
  <c r="U131" i="3" s="1"/>
  <c r="W131" i="3"/>
  <c r="Y131" i="3" s="1"/>
  <c r="T131" i="3"/>
  <c r="AA130" i="3"/>
  <c r="W130" i="3"/>
  <c r="T130" i="3"/>
  <c r="AA129" i="3"/>
  <c r="W129" i="3"/>
  <c r="U129" i="3" s="1"/>
  <c r="T129" i="3"/>
  <c r="AA128" i="3"/>
  <c r="Y128" i="3"/>
  <c r="W128" i="3"/>
  <c r="AE128" i="3" s="1"/>
  <c r="T128" i="3"/>
  <c r="AE127" i="3"/>
  <c r="AA127" i="3"/>
  <c r="W127" i="3"/>
  <c r="Y127" i="3" s="1"/>
  <c r="U127" i="3"/>
  <c r="T127" i="3"/>
  <c r="AA126" i="3"/>
  <c r="W126" i="3"/>
  <c r="T126" i="3"/>
  <c r="AE125" i="3"/>
  <c r="AA125" i="3"/>
  <c r="W125" i="3"/>
  <c r="U125" i="3" s="1"/>
  <c r="T125" i="3"/>
  <c r="AA124" i="3"/>
  <c r="Y124" i="3"/>
  <c r="W124" i="3"/>
  <c r="AE124" i="3" s="1"/>
  <c r="T124" i="3"/>
  <c r="AE123" i="3"/>
  <c r="AA123" i="3"/>
  <c r="W123" i="3"/>
  <c r="Y123" i="3" s="1"/>
  <c r="U123" i="3"/>
  <c r="T123" i="3"/>
  <c r="AA122" i="3"/>
  <c r="W122" i="3"/>
  <c r="T122" i="3"/>
  <c r="AE121" i="3"/>
  <c r="AA121" i="3"/>
  <c r="W121" i="3"/>
  <c r="U121" i="3" s="1"/>
  <c r="T121" i="3"/>
  <c r="AA120" i="3"/>
  <c r="Y120" i="3"/>
  <c r="W120" i="3"/>
  <c r="AE120" i="3" s="1"/>
  <c r="T120" i="3"/>
  <c r="AE119" i="3"/>
  <c r="AA119" i="3"/>
  <c r="W119" i="3"/>
  <c r="Y119" i="3" s="1"/>
  <c r="U119" i="3"/>
  <c r="T119" i="3"/>
  <c r="AA118" i="3"/>
  <c r="W118" i="3"/>
  <c r="T118" i="3"/>
  <c r="AE117" i="3"/>
  <c r="AA117" i="3"/>
  <c r="W117" i="3"/>
  <c r="U117" i="3" s="1"/>
  <c r="T117" i="3"/>
  <c r="AA116" i="3"/>
  <c r="Y116" i="3"/>
  <c r="W116" i="3"/>
  <c r="AE116" i="3" s="1"/>
  <c r="T116" i="3"/>
  <c r="AE115" i="3"/>
  <c r="AA115" i="3"/>
  <c r="W115" i="3"/>
  <c r="Y115" i="3" s="1"/>
  <c r="U115" i="3"/>
  <c r="T115" i="3"/>
  <c r="AA114" i="3"/>
  <c r="AA137" i="3" s="1"/>
  <c r="W114" i="3"/>
  <c r="T114" i="3"/>
  <c r="Y113" i="3"/>
  <c r="W113" i="3"/>
  <c r="U113" i="3" s="1"/>
  <c r="T113" i="3"/>
  <c r="AC111" i="3"/>
  <c r="T111" i="3" s="1"/>
  <c r="AB111" i="3"/>
  <c r="S111" i="3"/>
  <c r="R111" i="3"/>
  <c r="Q111" i="3"/>
  <c r="P111" i="3"/>
  <c r="O111" i="3"/>
  <c r="N111" i="3"/>
  <c r="M111" i="3"/>
  <c r="L111" i="3"/>
  <c r="K111" i="3"/>
  <c r="J111" i="3"/>
  <c r="I111" i="3"/>
  <c r="H111" i="3"/>
  <c r="AE110" i="3"/>
  <c r="AA110" i="3"/>
  <c r="W110" i="3"/>
  <c r="U110" i="3" s="1"/>
  <c r="T110" i="3"/>
  <c r="AA109" i="3"/>
  <c r="Y109" i="3"/>
  <c r="W109" i="3"/>
  <c r="AE109" i="3" s="1"/>
  <c r="T109" i="3"/>
  <c r="AE108" i="3"/>
  <c r="AA108" i="3"/>
  <c r="U108" i="3" s="1"/>
  <c r="W108" i="3"/>
  <c r="Y108" i="3" s="1"/>
  <c r="AA107" i="3"/>
  <c r="Y107" i="3"/>
  <c r="W107" i="3"/>
  <c r="AE107" i="3" s="1"/>
  <c r="U107" i="3"/>
  <c r="AA106" i="3"/>
  <c r="Y106" i="3"/>
  <c r="W106" i="3"/>
  <c r="AE106" i="3" s="1"/>
  <c r="T106" i="3"/>
  <c r="AE105" i="3"/>
  <c r="AA105" i="3"/>
  <c r="U105" i="3" s="1"/>
  <c r="W105" i="3"/>
  <c r="Y105" i="3" s="1"/>
  <c r="T105" i="3"/>
  <c r="AA104" i="3"/>
  <c r="W104" i="3"/>
  <c r="T104" i="3"/>
  <c r="AC102" i="3"/>
  <c r="T102" i="3" s="1"/>
  <c r="AB102" i="3"/>
  <c r="S102" i="3"/>
  <c r="R102" i="3"/>
  <c r="Q102" i="3"/>
  <c r="P102" i="3"/>
  <c r="O102" i="3"/>
  <c r="N102" i="3"/>
  <c r="M102" i="3"/>
  <c r="L102" i="3"/>
  <c r="K102" i="3"/>
  <c r="J102" i="3"/>
  <c r="I102" i="3"/>
  <c r="H102" i="3"/>
  <c r="W102" i="3" s="1"/>
  <c r="AE101" i="3"/>
  <c r="AA101" i="3"/>
  <c r="U101" i="3" s="1"/>
  <c r="W101" i="3"/>
  <c r="Y101" i="3" s="1"/>
  <c r="T101" i="3"/>
  <c r="AA100" i="3"/>
  <c r="W100" i="3"/>
  <c r="T100" i="3"/>
  <c r="AA99" i="3"/>
  <c r="W99" i="3"/>
  <c r="T99" i="3"/>
  <c r="AA98" i="3"/>
  <c r="Y98" i="3"/>
  <c r="W98" i="3"/>
  <c r="AE98" i="3" s="1"/>
  <c r="T98" i="3"/>
  <c r="AE97" i="3"/>
  <c r="AA97" i="3"/>
  <c r="U97" i="3" s="1"/>
  <c r="W97" i="3"/>
  <c r="Y97" i="3" s="1"/>
  <c r="T97" i="3"/>
  <c r="AA96" i="3"/>
  <c r="W96" i="3"/>
  <c r="T96" i="3"/>
  <c r="AA95" i="3"/>
  <c r="W95" i="3"/>
  <c r="T95" i="3"/>
  <c r="AA94" i="3"/>
  <c r="Y94" i="3"/>
  <c r="W94" i="3"/>
  <c r="AE94" i="3" s="1"/>
  <c r="T94" i="3"/>
  <c r="AE93" i="3"/>
  <c r="AA93" i="3"/>
  <c r="W93" i="3"/>
  <c r="Y93" i="3" s="1"/>
  <c r="T93" i="3"/>
  <c r="W92" i="3"/>
  <c r="U92" i="3"/>
  <c r="AE91" i="3"/>
  <c r="AA91" i="3"/>
  <c r="U91" i="3" s="1"/>
  <c r="W91" i="3"/>
  <c r="T91" i="3"/>
  <c r="AA90" i="3"/>
  <c r="W90" i="3"/>
  <c r="T90" i="3"/>
  <c r="AC87" i="3"/>
  <c r="AB87" i="3"/>
  <c r="T87" i="3"/>
  <c r="S87" i="3"/>
  <c r="R87" i="3"/>
  <c r="Q87" i="3"/>
  <c r="P87" i="3"/>
  <c r="O87" i="3"/>
  <c r="N87" i="3"/>
  <c r="M87" i="3"/>
  <c r="L87" i="3"/>
  <c r="K87" i="3"/>
  <c r="J87" i="3"/>
  <c r="I87" i="3"/>
  <c r="W87" i="3" s="1"/>
  <c r="H87" i="3"/>
  <c r="AA86" i="3"/>
  <c r="W86" i="3"/>
  <c r="T86" i="3"/>
  <c r="AA85" i="3"/>
  <c r="W85" i="3"/>
  <c r="U85" i="3" s="1"/>
  <c r="T85" i="3"/>
  <c r="AA84" i="3"/>
  <c r="Y84" i="3"/>
  <c r="W84" i="3"/>
  <c r="AE84" i="3" s="1"/>
  <c r="U84" i="3"/>
  <c r="T84" i="3"/>
  <c r="AE83" i="3"/>
  <c r="AA83" i="3"/>
  <c r="U83" i="3" s="1"/>
  <c r="W83" i="3"/>
  <c r="Y83" i="3" s="1"/>
  <c r="T83" i="3"/>
  <c r="AA82" i="3"/>
  <c r="W82" i="3"/>
  <c r="T82" i="3"/>
  <c r="AE81" i="3"/>
  <c r="AA81" i="3"/>
  <c r="W81" i="3"/>
  <c r="U81" i="3" s="1"/>
  <c r="AA80" i="3"/>
  <c r="W80" i="3"/>
  <c r="T80" i="3"/>
  <c r="AE79" i="3"/>
  <c r="AA79" i="3"/>
  <c r="U79" i="3" s="1"/>
  <c r="Y79" i="3"/>
  <c r="W79" i="3"/>
  <c r="AC77" i="3"/>
  <c r="T77" i="3" s="1"/>
  <c r="AB77" i="3"/>
  <c r="AA77" i="3"/>
  <c r="W77" i="3"/>
  <c r="S77" i="3"/>
  <c r="R77" i="3"/>
  <c r="Q77" i="3"/>
  <c r="P77" i="3"/>
  <c r="O77" i="3"/>
  <c r="N77" i="3"/>
  <c r="M77" i="3"/>
  <c r="L77" i="3"/>
  <c r="K77" i="3"/>
  <c r="J77" i="3"/>
  <c r="I77" i="3"/>
  <c r="H77" i="3"/>
  <c r="AE76" i="3"/>
  <c r="AA76" i="3"/>
  <c r="U76" i="3" s="1"/>
  <c r="W76" i="3"/>
  <c r="Y76" i="3" s="1"/>
  <c r="T76" i="3"/>
  <c r="AE75" i="3"/>
  <c r="AA75" i="3"/>
  <c r="U75" i="3" s="1"/>
  <c r="W75" i="3"/>
  <c r="AA74" i="3"/>
  <c r="U74" i="3" s="1"/>
  <c r="Y74" i="3"/>
  <c r="W74" i="3"/>
  <c r="AE74" i="3" s="1"/>
  <c r="AE77" i="3" s="1"/>
  <c r="T74" i="3"/>
  <c r="AA73" i="3"/>
  <c r="W73" i="3"/>
  <c r="T73" i="3"/>
  <c r="AE70" i="3"/>
  <c r="AA70" i="3"/>
  <c r="U70" i="3" s="1"/>
  <c r="W70" i="3"/>
  <c r="Y70" i="3" s="1"/>
  <c r="T70" i="3"/>
  <c r="AA69" i="3"/>
  <c r="Y69" i="3"/>
  <c r="W69" i="3"/>
  <c r="AE69" i="3" s="1"/>
  <c r="T69" i="3"/>
  <c r="AE68" i="3"/>
  <c r="AA68" i="3"/>
  <c r="U68" i="3" s="1"/>
  <c r="W68" i="3"/>
  <c r="Y68" i="3" s="1"/>
  <c r="T68" i="3"/>
  <c r="AA67" i="3"/>
  <c r="Y67" i="3"/>
  <c r="W67" i="3"/>
  <c r="AE67" i="3" s="1"/>
  <c r="U67" i="3"/>
  <c r="T67" i="3"/>
  <c r="AE66" i="3"/>
  <c r="AA66" i="3"/>
  <c r="U66" i="3" s="1"/>
  <c r="W66" i="3"/>
  <c r="T66" i="3"/>
  <c r="AA65" i="3"/>
  <c r="W65" i="3"/>
  <c r="AE65" i="3" s="1"/>
  <c r="T65" i="3"/>
  <c r="AA64" i="3"/>
  <c r="W64" i="3"/>
  <c r="T64" i="3"/>
  <c r="AE63" i="3"/>
  <c r="AA63" i="3"/>
  <c r="U63" i="3" s="1"/>
  <c r="Y63" i="3"/>
  <c r="W63" i="3"/>
  <c r="T63" i="3"/>
  <c r="AB62" i="3"/>
  <c r="AB71" i="3" s="1"/>
  <c r="AB171" i="3" s="1"/>
  <c r="O62" i="3"/>
  <c r="O71" i="3" s="1"/>
  <c r="L62" i="3"/>
  <c r="L71" i="3" s="1"/>
  <c r="L171" i="3" s="1"/>
  <c r="L201" i="3" s="1"/>
  <c r="AC61" i="3"/>
  <c r="S61" i="3"/>
  <c r="R61" i="3"/>
  <c r="Q61" i="3"/>
  <c r="P61" i="3"/>
  <c r="O61" i="3"/>
  <c r="N61" i="3"/>
  <c r="M61" i="3"/>
  <c r="L61" i="3"/>
  <c r="K61" i="3"/>
  <c r="J61" i="3"/>
  <c r="I61" i="3"/>
  <c r="H61" i="3"/>
  <c r="AA60" i="3"/>
  <c r="AA61" i="3" s="1"/>
  <c r="W60" i="3"/>
  <c r="U60" i="3" s="1"/>
  <c r="T60" i="3"/>
  <c r="AE59" i="3"/>
  <c r="AA59" i="3"/>
  <c r="W59" i="3"/>
  <c r="T59" i="3"/>
  <c r="W58" i="3"/>
  <c r="AC56" i="3"/>
  <c r="AC62" i="3" s="1"/>
  <c r="S56" i="3"/>
  <c r="S62" i="3" s="1"/>
  <c r="S71" i="3" s="1"/>
  <c r="S171" i="3" s="1"/>
  <c r="S201" i="3" s="1"/>
  <c r="R56" i="3"/>
  <c r="R62" i="3" s="1"/>
  <c r="R71" i="3" s="1"/>
  <c r="R171" i="3" s="1"/>
  <c r="R201" i="3" s="1"/>
  <c r="Q56" i="3"/>
  <c r="Q62" i="3" s="1"/>
  <c r="Q71" i="3" s="1"/>
  <c r="Q171" i="3" s="1"/>
  <c r="Q201" i="3" s="1"/>
  <c r="P56" i="3"/>
  <c r="P62" i="3" s="1"/>
  <c r="P71" i="3" s="1"/>
  <c r="P171" i="3" s="1"/>
  <c r="P201" i="3" s="1"/>
  <c r="O56" i="3"/>
  <c r="N56" i="3"/>
  <c r="N62" i="3" s="1"/>
  <c r="N71" i="3" s="1"/>
  <c r="N171" i="3" s="1"/>
  <c r="N201" i="3" s="1"/>
  <c r="M56" i="3"/>
  <c r="M62" i="3" s="1"/>
  <c r="M71" i="3" s="1"/>
  <c r="M171" i="3" s="1"/>
  <c r="M201" i="3" s="1"/>
  <c r="L56" i="3"/>
  <c r="K56" i="3"/>
  <c r="K62" i="3" s="1"/>
  <c r="K71" i="3" s="1"/>
  <c r="K171" i="3" s="1"/>
  <c r="K201" i="3" s="1"/>
  <c r="J56" i="3"/>
  <c r="J62" i="3" s="1"/>
  <c r="J71" i="3" s="1"/>
  <c r="J171" i="3" s="1"/>
  <c r="J201" i="3" s="1"/>
  <c r="I56" i="3"/>
  <c r="I62" i="3" s="1"/>
  <c r="I71" i="3" s="1"/>
  <c r="I171" i="3" s="1"/>
  <c r="I201" i="3" s="1"/>
  <c r="H56" i="3"/>
  <c r="H62" i="3" s="1"/>
  <c r="AA55" i="3"/>
  <c r="U55" i="3" s="1"/>
  <c r="Y55" i="3"/>
  <c r="W55" i="3"/>
  <c r="AE55" i="3" s="1"/>
  <c r="T55" i="3"/>
  <c r="AE54" i="3"/>
  <c r="AE56" i="3" s="1"/>
  <c r="AA54" i="3"/>
  <c r="W54" i="3"/>
  <c r="Y54" i="3" s="1"/>
  <c r="T54" i="3"/>
  <c r="S45" i="3"/>
  <c r="R45" i="3"/>
  <c r="Q45" i="3"/>
  <c r="P45" i="3"/>
  <c r="O45" i="3"/>
  <c r="N45" i="3"/>
  <c r="M45" i="3"/>
  <c r="W45" i="3" s="1"/>
  <c r="L45" i="3"/>
  <c r="K45" i="3"/>
  <c r="J45" i="3"/>
  <c r="I45" i="3"/>
  <c r="H45" i="3"/>
  <c r="AD44" i="3"/>
  <c r="AD45" i="3" s="1"/>
  <c r="AC44" i="3"/>
  <c r="AC45" i="3" s="1"/>
  <c r="T45" i="3" s="1"/>
  <c r="S44" i="3"/>
  <c r="R44" i="3"/>
  <c r="Q44" i="3"/>
  <c r="P44" i="3"/>
  <c r="O44" i="3"/>
  <c r="N44" i="3"/>
  <c r="M44" i="3"/>
  <c r="L44" i="3"/>
  <c r="K44" i="3"/>
  <c r="J44" i="3"/>
  <c r="I44" i="3"/>
  <c r="H44" i="3"/>
  <c r="W44" i="3" s="1"/>
  <c r="AA43" i="3"/>
  <c r="U43" i="3" s="1"/>
  <c r="W43" i="3"/>
  <c r="Y43" i="3" s="1"/>
  <c r="T43" i="3"/>
  <c r="T44" i="3" s="1"/>
  <c r="AA42" i="3"/>
  <c r="AA44" i="3" s="1"/>
  <c r="AA45" i="3" s="1"/>
  <c r="W42" i="3"/>
  <c r="T42" i="3"/>
  <c r="AA41" i="3"/>
  <c r="W41" i="3"/>
  <c r="U41" i="3"/>
  <c r="AA40" i="3"/>
  <c r="W40" i="3"/>
  <c r="W39" i="3"/>
  <c r="Y39" i="3" s="1"/>
  <c r="AA38" i="3"/>
  <c r="Y38" i="3"/>
  <c r="W38" i="3"/>
  <c r="U38" i="3"/>
  <c r="AA37" i="3"/>
  <c r="W37" i="3"/>
  <c r="Y37" i="3" s="1"/>
  <c r="AA36" i="3"/>
  <c r="Y36" i="3"/>
  <c r="W36" i="3"/>
  <c r="U36" i="3"/>
  <c r="T36" i="3"/>
  <c r="AA35" i="3"/>
  <c r="U35" i="3" s="1"/>
  <c r="W35" i="3"/>
  <c r="Y35" i="3" s="1"/>
  <c r="T35" i="3"/>
  <c r="AA34" i="3"/>
  <c r="W34" i="3"/>
  <c r="T34" i="3"/>
  <c r="AA33" i="3"/>
  <c r="W33" i="3"/>
  <c r="Y33" i="3" s="1"/>
  <c r="AA32" i="3"/>
  <c r="U32" i="3" s="1"/>
  <c r="Y32" i="3"/>
  <c r="W32" i="3"/>
  <c r="T32" i="3"/>
  <c r="AA31" i="3"/>
  <c r="Y31" i="3"/>
  <c r="W31" i="3"/>
  <c r="U31" i="3"/>
  <c r="T31" i="3"/>
  <c r="AA30" i="3"/>
  <c r="Y30" i="3"/>
  <c r="W30" i="3"/>
  <c r="U30" i="3"/>
  <c r="T30" i="3"/>
  <c r="AA29" i="3"/>
  <c r="W29" i="3"/>
  <c r="U29" i="3" s="1"/>
  <c r="T29" i="3"/>
  <c r="AA28" i="3"/>
  <c r="W28" i="3"/>
  <c r="Y28" i="3" s="1"/>
  <c r="T28" i="3"/>
  <c r="AD26" i="3"/>
  <c r="R26" i="3"/>
  <c r="R47" i="3" s="1"/>
  <c r="R48" i="3" s="1"/>
  <c r="P26" i="3"/>
  <c r="P47" i="3" s="1"/>
  <c r="P48" i="3" s="1"/>
  <c r="P202" i="3" s="1"/>
  <c r="O26" i="3"/>
  <c r="O47" i="3" s="1"/>
  <c r="O48" i="3" s="1"/>
  <c r="J26" i="3"/>
  <c r="J47" i="3" s="1"/>
  <c r="J48" i="3" s="1"/>
  <c r="W25" i="3"/>
  <c r="AA24" i="3"/>
  <c r="Y24" i="3"/>
  <c r="W24" i="3"/>
  <c r="U24" i="3"/>
  <c r="T24" i="3"/>
  <c r="AD23" i="3"/>
  <c r="AC23" i="3"/>
  <c r="AC26" i="3" s="1"/>
  <c r="T23" i="3"/>
  <c r="S23" i="3"/>
  <c r="S26" i="3" s="1"/>
  <c r="S47" i="3" s="1"/>
  <c r="S48" i="3" s="1"/>
  <c r="R23" i="3"/>
  <c r="Q23" i="3"/>
  <c r="Q26" i="3" s="1"/>
  <c r="Q47" i="3" s="1"/>
  <c r="Q48" i="3" s="1"/>
  <c r="Q202" i="3" s="1"/>
  <c r="P23" i="3"/>
  <c r="O23" i="3"/>
  <c r="N23" i="3"/>
  <c r="N26" i="3" s="1"/>
  <c r="N47" i="3" s="1"/>
  <c r="N48" i="3" s="1"/>
  <c r="N202" i="3" s="1"/>
  <c r="L23" i="3"/>
  <c r="L26" i="3" s="1"/>
  <c r="L47" i="3" s="1"/>
  <c r="L48" i="3" s="1"/>
  <c r="L202" i="3" s="1"/>
  <c r="K23" i="3"/>
  <c r="K26" i="3" s="1"/>
  <c r="K47" i="3" s="1"/>
  <c r="K48" i="3" s="1"/>
  <c r="J23" i="3"/>
  <c r="I23" i="3"/>
  <c r="I26" i="3" s="1"/>
  <c r="I47" i="3" s="1"/>
  <c r="I48" i="3" s="1"/>
  <c r="I202" i="3" s="1"/>
  <c r="H23" i="3"/>
  <c r="H26" i="3" s="1"/>
  <c r="AA22" i="3"/>
  <c r="T22" i="3"/>
  <c r="M22" i="3"/>
  <c r="M23" i="3" s="1"/>
  <c r="M26" i="3" s="1"/>
  <c r="M47" i="3" s="1"/>
  <c r="M48" i="3" s="1"/>
  <c r="M202" i="3" s="1"/>
  <c r="AA21" i="3"/>
  <c r="U21" i="3" s="1"/>
  <c r="Y21" i="3"/>
  <c r="W21" i="3"/>
  <c r="T21" i="3"/>
  <c r="AA19" i="3"/>
  <c r="U19" i="3" s="1"/>
  <c r="Y19" i="3"/>
  <c r="W19" i="3"/>
  <c r="T19" i="3"/>
  <c r="AA18" i="3"/>
  <c r="Y18" i="3"/>
  <c r="W18" i="3"/>
  <c r="AA17" i="3"/>
  <c r="U17" i="3" s="1"/>
  <c r="Y17" i="3"/>
  <c r="W17" i="3"/>
  <c r="T17" i="3"/>
  <c r="AA16" i="3"/>
  <c r="U16" i="3" s="1"/>
  <c r="Y16" i="3"/>
  <c r="W16" i="3"/>
  <c r="T16" i="3"/>
  <c r="AA15" i="3"/>
  <c r="W15" i="3"/>
  <c r="Y15" i="3" s="1"/>
  <c r="T15" i="3"/>
  <c r="AA14" i="3"/>
  <c r="W14" i="3"/>
  <c r="AA13" i="3"/>
  <c r="U13" i="3" s="1"/>
  <c r="Y13" i="3"/>
  <c r="W13" i="3"/>
  <c r="T13" i="3"/>
  <c r="AA12" i="3"/>
  <c r="U12" i="3" s="1"/>
  <c r="Y12" i="3"/>
  <c r="W12" i="3"/>
  <c r="T12" i="3"/>
  <c r="AA11" i="3"/>
  <c r="Y11" i="3"/>
  <c r="W11" i="3"/>
  <c r="U11" i="3"/>
  <c r="T11" i="3"/>
  <c r="AA10" i="3"/>
  <c r="W10" i="3"/>
  <c r="Y10" i="3" s="1"/>
  <c r="T10" i="3"/>
  <c r="W25" i="2"/>
  <c r="N146" i="2"/>
  <c r="AA199" i="2"/>
  <c r="AC199" i="2"/>
  <c r="AC198" i="2"/>
  <c r="AA198" i="2" s="1"/>
  <c r="AA197" i="2"/>
  <c r="AA196" i="2"/>
  <c r="AA195" i="2"/>
  <c r="AA194" i="2"/>
  <c r="W194" i="2"/>
  <c r="W195" i="2"/>
  <c r="W196" i="2"/>
  <c r="W197" i="2"/>
  <c r="T197" i="2"/>
  <c r="T196" i="2"/>
  <c r="T195" i="2"/>
  <c r="S199" i="2"/>
  <c r="R199" i="2"/>
  <c r="Q199" i="2"/>
  <c r="P199" i="2"/>
  <c r="O199" i="2"/>
  <c r="M199" i="2"/>
  <c r="L199" i="2"/>
  <c r="K199" i="2"/>
  <c r="J199" i="2"/>
  <c r="I199" i="2"/>
  <c r="H199" i="2"/>
  <c r="AC193" i="2"/>
  <c r="W198" i="2"/>
  <c r="T193" i="2"/>
  <c r="S193" i="2"/>
  <c r="R193" i="2"/>
  <c r="Q193" i="2"/>
  <c r="P193" i="2"/>
  <c r="O193" i="2"/>
  <c r="N193" i="2"/>
  <c r="W193" i="2" s="1"/>
  <c r="W199" i="2" s="1"/>
  <c r="M193" i="2"/>
  <c r="L193" i="2"/>
  <c r="K193" i="2"/>
  <c r="J193" i="2"/>
  <c r="I193" i="2"/>
  <c r="H193" i="2"/>
  <c r="AB193" i="2"/>
  <c r="U198" i="2"/>
  <c r="S198" i="2"/>
  <c r="R198" i="2"/>
  <c r="Q198" i="2"/>
  <c r="P198" i="2"/>
  <c r="O198" i="2"/>
  <c r="N198" i="2"/>
  <c r="M198" i="2"/>
  <c r="L198" i="2"/>
  <c r="K198" i="2"/>
  <c r="J198" i="2"/>
  <c r="I198" i="2"/>
  <c r="H198" i="2"/>
  <c r="M146" i="2"/>
  <c r="M56" i="2"/>
  <c r="M22" i="2"/>
  <c r="AA73" i="2"/>
  <c r="W73" i="2"/>
  <c r="T73" i="2"/>
  <c r="L146" i="2"/>
  <c r="K146" i="2"/>
  <c r="I146" i="2"/>
  <c r="H146" i="2"/>
  <c r="AC145" i="2"/>
  <c r="AA145" i="2" s="1"/>
  <c r="W145" i="2"/>
  <c r="J146" i="2"/>
  <c r="AC87" i="2"/>
  <c r="AC111" i="2"/>
  <c r="S45" i="2"/>
  <c r="R45" i="2"/>
  <c r="Q45" i="2"/>
  <c r="P45" i="2"/>
  <c r="P44" i="2"/>
  <c r="Q44" i="2"/>
  <c r="R44" i="2"/>
  <c r="S44" i="2"/>
  <c r="Q137" i="2"/>
  <c r="W39" i="2"/>
  <c r="Y39" i="2" s="1"/>
  <c r="W38" i="2"/>
  <c r="O45" i="2"/>
  <c r="N44" i="2"/>
  <c r="O44" i="2"/>
  <c r="N23" i="2"/>
  <c r="N26" i="2" s="1"/>
  <c r="N45" i="2"/>
  <c r="H45" i="2"/>
  <c r="I45" i="2"/>
  <c r="J45" i="2"/>
  <c r="K45" i="2"/>
  <c r="L45" i="2"/>
  <c r="M45" i="2"/>
  <c r="M44" i="2"/>
  <c r="J44" i="2"/>
  <c r="K44" i="2"/>
  <c r="L44" i="2"/>
  <c r="K102" i="2"/>
  <c r="W96" i="2"/>
  <c r="W93" i="2"/>
  <c r="K160" i="2"/>
  <c r="H44" i="2"/>
  <c r="AA111" i="3" l="1"/>
  <c r="U141" i="3"/>
  <c r="AA136" i="3"/>
  <c r="U34" i="3"/>
  <c r="U42" i="3"/>
  <c r="AA102" i="3"/>
  <c r="U102" i="3" s="1"/>
  <c r="U149" i="3"/>
  <c r="U40" i="3"/>
  <c r="AA160" i="3"/>
  <c r="AA170" i="3" s="1"/>
  <c r="U14" i="3"/>
  <c r="AA23" i="3"/>
  <c r="AA26" i="3" s="1"/>
  <c r="AA47" i="3" s="1"/>
  <c r="AA48" i="3" s="1"/>
  <c r="AA56" i="3"/>
  <c r="AA62" i="3" s="1"/>
  <c r="AA71" i="3" s="1"/>
  <c r="U73" i="3"/>
  <c r="U134" i="3"/>
  <c r="Y44" i="3"/>
  <c r="U44" i="3"/>
  <c r="AC71" i="3"/>
  <c r="T62" i="3"/>
  <c r="Y102" i="3"/>
  <c r="H47" i="3"/>
  <c r="W26" i="3"/>
  <c r="R202" i="3"/>
  <c r="Y87" i="3"/>
  <c r="AC47" i="3"/>
  <c r="T26" i="3"/>
  <c r="AD47" i="3"/>
  <c r="AD48" i="3" s="1"/>
  <c r="K202" i="3"/>
  <c r="Y45" i="3"/>
  <c r="U45" i="3"/>
  <c r="W62" i="3"/>
  <c r="H71" i="3"/>
  <c r="J202" i="3"/>
  <c r="S202" i="3"/>
  <c r="AE61" i="3"/>
  <c r="AE62" i="3" s="1"/>
  <c r="AE71" i="3" s="1"/>
  <c r="O202" i="3"/>
  <c r="Y77" i="3"/>
  <c r="U77" i="3"/>
  <c r="Y96" i="3"/>
  <c r="U96" i="3"/>
  <c r="AE96" i="3"/>
  <c r="Y34" i="3"/>
  <c r="Y104" i="3"/>
  <c r="U104" i="3"/>
  <c r="AE104" i="3"/>
  <c r="AE111" i="3" s="1"/>
  <c r="W170" i="3"/>
  <c r="Y184" i="3"/>
  <c r="U184" i="3"/>
  <c r="Y40" i="3"/>
  <c r="W22" i="3"/>
  <c r="U28" i="3"/>
  <c r="U33" i="3"/>
  <c r="W56" i="3"/>
  <c r="Y56" i="3" s="1"/>
  <c r="O171" i="3"/>
  <c r="O201" i="3" s="1"/>
  <c r="Y80" i="3"/>
  <c r="U80" i="3"/>
  <c r="Y82" i="3"/>
  <c r="U82" i="3"/>
  <c r="U90" i="3"/>
  <c r="AE90" i="3"/>
  <c r="AA193" i="3"/>
  <c r="Y190" i="3"/>
  <c r="U190" i="3"/>
  <c r="U192" i="3" s="1"/>
  <c r="AE190" i="3"/>
  <c r="AE192" i="3" s="1"/>
  <c r="Y142" i="3"/>
  <c r="U142" i="3"/>
  <c r="AE142" i="3"/>
  <c r="AA199" i="3"/>
  <c r="AA200" i="3" s="1"/>
  <c r="AC200" i="3"/>
  <c r="T200" i="3" s="1"/>
  <c r="Y14" i="3"/>
  <c r="Y42" i="3"/>
  <c r="W23" i="3"/>
  <c r="AE85" i="3"/>
  <c r="U93" i="3"/>
  <c r="Y179" i="3"/>
  <c r="U179" i="3"/>
  <c r="AE179" i="3"/>
  <c r="AA192" i="3"/>
  <c r="Y100" i="3"/>
  <c r="U100" i="3"/>
  <c r="AE100" i="3"/>
  <c r="Y29" i="3"/>
  <c r="AE64" i="3"/>
  <c r="U64" i="3"/>
  <c r="Y85" i="3"/>
  <c r="U10" i="3"/>
  <c r="U15" i="3"/>
  <c r="AE60" i="3"/>
  <c r="Y60" i="3"/>
  <c r="U65" i="3"/>
  <c r="AE80" i="3"/>
  <c r="AE87" i="3" s="1"/>
  <c r="AE82" i="3"/>
  <c r="U95" i="3"/>
  <c r="Y95" i="3"/>
  <c r="U99" i="3"/>
  <c r="Y99" i="3"/>
  <c r="W111" i="3"/>
  <c r="Y135" i="3"/>
  <c r="U135" i="3"/>
  <c r="U136" i="3" s="1"/>
  <c r="AE135" i="3"/>
  <c r="AB193" i="3"/>
  <c r="U37" i="3"/>
  <c r="U54" i="3"/>
  <c r="U56" i="3" s="1"/>
  <c r="Y86" i="3"/>
  <c r="U86" i="3"/>
  <c r="Y137" i="3"/>
  <c r="U137" i="3"/>
  <c r="Y175" i="3"/>
  <c r="U175" i="3"/>
  <c r="AE175" i="3"/>
  <c r="U187" i="3"/>
  <c r="AE187" i="3"/>
  <c r="Y81" i="3"/>
  <c r="AE95" i="3"/>
  <c r="AE102" i="3" s="1"/>
  <c r="AE99" i="3"/>
  <c r="Y130" i="3"/>
  <c r="U130" i="3"/>
  <c r="AE130" i="3"/>
  <c r="AA146" i="3"/>
  <c r="U139" i="3"/>
  <c r="Y146" i="3"/>
  <c r="U146" i="3"/>
  <c r="W155" i="3"/>
  <c r="Y59" i="3"/>
  <c r="U59" i="3"/>
  <c r="W61" i="3"/>
  <c r="U69" i="3"/>
  <c r="AE86" i="3"/>
  <c r="Y114" i="3"/>
  <c r="U114" i="3"/>
  <c r="AE114" i="3"/>
  <c r="Y118" i="3"/>
  <c r="U118" i="3"/>
  <c r="AE118" i="3"/>
  <c r="Y122" i="3"/>
  <c r="U122" i="3"/>
  <c r="AE122" i="3"/>
  <c r="Y126" i="3"/>
  <c r="U126" i="3"/>
  <c r="AE126" i="3"/>
  <c r="U94" i="3"/>
  <c r="U98" i="3"/>
  <c r="U106" i="3"/>
  <c r="U109" i="3"/>
  <c r="Y110" i="3"/>
  <c r="U116" i="3"/>
  <c r="Y117" i="3"/>
  <c r="U120" i="3"/>
  <c r="Y121" i="3"/>
  <c r="U124" i="3"/>
  <c r="Y125" i="3"/>
  <c r="U128" i="3"/>
  <c r="Y129" i="3"/>
  <c r="U132" i="3"/>
  <c r="Y134" i="3"/>
  <c r="W136" i="3"/>
  <c r="Y136" i="3" s="1"/>
  <c r="U140" i="3"/>
  <c r="Y141" i="3"/>
  <c r="U144" i="3"/>
  <c r="Y145" i="3"/>
  <c r="W160" i="3"/>
  <c r="Y174" i="3"/>
  <c r="U177" i="3"/>
  <c r="Y178" i="3"/>
  <c r="U181" i="3"/>
  <c r="Y183" i="3"/>
  <c r="AA87" i="3"/>
  <c r="AA171" i="3" s="1"/>
  <c r="AA201" i="3" s="1"/>
  <c r="AA145" i="3"/>
  <c r="U145" i="3" s="1"/>
  <c r="U148" i="3"/>
  <c r="U152" i="3"/>
  <c r="U164" i="3"/>
  <c r="U168" i="3"/>
  <c r="U185" i="3"/>
  <c r="W193" i="3"/>
  <c r="AA198" i="3"/>
  <c r="AE129" i="3"/>
  <c r="AE134" i="3"/>
  <c r="AE136" i="3" s="1"/>
  <c r="AE141" i="3"/>
  <c r="AE146" i="3" s="1"/>
  <c r="AE174" i="3"/>
  <c r="AE178" i="3"/>
  <c r="AE183" i="3"/>
  <c r="N199" i="2"/>
  <c r="T198" i="2"/>
  <c r="T199" i="2" s="1"/>
  <c r="Y193" i="2"/>
  <c r="U145" i="2"/>
  <c r="U73" i="2"/>
  <c r="T145" i="2"/>
  <c r="AE145" i="2"/>
  <c r="Y145" i="2"/>
  <c r="N47" i="2"/>
  <c r="AC137" i="2"/>
  <c r="U87" i="3" l="1"/>
  <c r="U193" i="3"/>
  <c r="U199" i="3" s="1"/>
  <c r="U200" i="3" s="1"/>
  <c r="U201" i="3" s="1"/>
  <c r="AE199" i="3"/>
  <c r="AE200" i="3" s="1"/>
  <c r="Y26" i="3"/>
  <c r="U26" i="3"/>
  <c r="AE137" i="3"/>
  <c r="AE171" i="3" s="1"/>
  <c r="Y155" i="3"/>
  <c r="U155" i="3"/>
  <c r="W47" i="3"/>
  <c r="H48" i="3"/>
  <c r="Y22" i="3"/>
  <c r="U22" i="3"/>
  <c r="Y170" i="3"/>
  <c r="U170" i="3"/>
  <c r="Y160" i="3"/>
  <c r="U160" i="3"/>
  <c r="AA202" i="3"/>
  <c r="U111" i="3"/>
  <c r="Y111" i="3"/>
  <c r="AC48" i="3"/>
  <c r="T47" i="3"/>
  <c r="Y61" i="3"/>
  <c r="U61" i="3"/>
  <c r="Y193" i="3"/>
  <c r="W199" i="3"/>
  <c r="H171" i="3"/>
  <c r="W71" i="3"/>
  <c r="U62" i="3"/>
  <c r="Y62" i="3"/>
  <c r="T71" i="3"/>
  <c r="T171" i="3" s="1"/>
  <c r="T201" i="3" s="1"/>
  <c r="AC171" i="3"/>
  <c r="AC201" i="3" s="1"/>
  <c r="Y23" i="3"/>
  <c r="U23" i="3"/>
  <c r="AA123" i="2"/>
  <c r="AF123" i="2" s="1"/>
  <c r="AG123" i="2"/>
  <c r="AC44" i="2"/>
  <c r="AC45" i="2" s="1"/>
  <c r="AA41" i="2"/>
  <c r="AE201" i="3" l="1"/>
  <c r="AE193" i="3"/>
  <c r="Y47" i="3"/>
  <c r="U47" i="3"/>
  <c r="Y199" i="3"/>
  <c r="W200" i="3"/>
  <c r="Y200" i="3" s="1"/>
  <c r="Y71" i="3"/>
  <c r="U71" i="3"/>
  <c r="AC202" i="3"/>
  <c r="T202" i="3" s="1"/>
  <c r="T48" i="3"/>
  <c r="W171" i="3"/>
  <c r="H201" i="3"/>
  <c r="W48" i="3"/>
  <c r="H202" i="3"/>
  <c r="AA40" i="2"/>
  <c r="AG40" i="2"/>
  <c r="AA128" i="2"/>
  <c r="AF128" i="2" s="1"/>
  <c r="P102" i="2"/>
  <c r="W202" i="3" l="1"/>
  <c r="Y202" i="3" s="1"/>
  <c r="U48" i="3"/>
  <c r="U202" i="3" s="1"/>
  <c r="Y48" i="3"/>
  <c r="W201" i="3"/>
  <c r="Y201" i="3" s="1"/>
  <c r="Y171" i="3"/>
  <c r="AF40" i="2"/>
  <c r="M102" i="2"/>
  <c r="S23" i="2"/>
  <c r="S26" i="2" s="1"/>
  <c r="O137" i="2" l="1"/>
  <c r="O200" i="2"/>
  <c r="P200" i="2"/>
  <c r="Q200" i="2"/>
  <c r="R200" i="2"/>
  <c r="S200" i="2"/>
  <c r="T186" i="2" l="1"/>
  <c r="T187" i="2"/>
  <c r="T188" i="2"/>
  <c r="W186" i="2"/>
  <c r="W187" i="2"/>
  <c r="W188" i="2"/>
  <c r="U188" i="2" s="1"/>
  <c r="T64" i="2" l="1"/>
  <c r="T65" i="2"/>
  <c r="T66" i="2"/>
  <c r="T67" i="2"/>
  <c r="T68" i="2"/>
  <c r="T69" i="2"/>
  <c r="T70" i="2"/>
  <c r="T60" i="2"/>
  <c r="T59" i="2"/>
  <c r="M137" i="2"/>
  <c r="T118" i="2"/>
  <c r="T10" i="2"/>
  <c r="AA10" i="2"/>
  <c r="AA74" i="2" l="1"/>
  <c r="I44" i="2" l="1"/>
  <c r="H102" i="2" l="1"/>
  <c r="N200" i="2" l="1"/>
  <c r="M200" i="2"/>
  <c r="L200" i="2"/>
  <c r="K200" i="2"/>
  <c r="J200" i="2"/>
  <c r="I200" i="2"/>
  <c r="S192" i="2"/>
  <c r="R192" i="2"/>
  <c r="Q192" i="2"/>
  <c r="P192" i="2"/>
  <c r="O192" i="2"/>
  <c r="N192" i="2"/>
  <c r="M192" i="2"/>
  <c r="L192" i="2"/>
  <c r="K192" i="2"/>
  <c r="J192" i="2"/>
  <c r="I192" i="2"/>
  <c r="S160" i="2"/>
  <c r="S170" i="2" s="1"/>
  <c r="R160" i="2"/>
  <c r="R170" i="2" s="1"/>
  <c r="Q160" i="2"/>
  <c r="Q170" i="2" s="1"/>
  <c r="P160" i="2"/>
  <c r="P170" i="2" s="1"/>
  <c r="O160" i="2"/>
  <c r="O170" i="2" s="1"/>
  <c r="N160" i="2"/>
  <c r="N170" i="2" s="1"/>
  <c r="M160" i="2"/>
  <c r="M170" i="2" s="1"/>
  <c r="L160" i="2"/>
  <c r="L170" i="2" s="1"/>
  <c r="K170" i="2"/>
  <c r="J160" i="2"/>
  <c r="J170" i="2" s="1"/>
  <c r="I160" i="2"/>
  <c r="I170" i="2" s="1"/>
  <c r="S146" i="2"/>
  <c r="R146" i="2"/>
  <c r="Q146" i="2"/>
  <c r="P146" i="2"/>
  <c r="O146" i="2"/>
  <c r="S137" i="2"/>
  <c r="R137" i="2"/>
  <c r="P137" i="2"/>
  <c r="W123" i="2" l="1"/>
  <c r="Y123" i="2" s="1"/>
  <c r="N137" i="2"/>
  <c r="L137" i="2"/>
  <c r="K137" i="2"/>
  <c r="J137" i="2"/>
  <c r="I137" i="2"/>
  <c r="S136" i="2"/>
  <c r="R136" i="2"/>
  <c r="Q136" i="2"/>
  <c r="P136" i="2"/>
  <c r="O136" i="2"/>
  <c r="N136" i="2"/>
  <c r="M136" i="2"/>
  <c r="L136" i="2"/>
  <c r="K136" i="2"/>
  <c r="J136" i="2"/>
  <c r="I136" i="2"/>
  <c r="H136" i="2"/>
  <c r="S111" i="2"/>
  <c r="R111" i="2"/>
  <c r="Q111" i="2"/>
  <c r="P111" i="2"/>
  <c r="O111" i="2"/>
  <c r="N111" i="2"/>
  <c r="M111" i="2"/>
  <c r="L111" i="2"/>
  <c r="K111" i="2"/>
  <c r="J111" i="2"/>
  <c r="I111" i="2"/>
  <c r="S102" i="2"/>
  <c r="R102" i="2"/>
  <c r="Q102" i="2"/>
  <c r="O102" i="2"/>
  <c r="M155" i="2"/>
  <c r="N102" i="2"/>
  <c r="L102" i="2"/>
  <c r="J102" i="2"/>
  <c r="I102" i="2"/>
  <c r="W102" i="2" l="1"/>
  <c r="AE123" i="2"/>
  <c r="U123" i="2"/>
  <c r="S56" i="2"/>
  <c r="P56" i="2"/>
  <c r="R61" i="2"/>
  <c r="O61" i="2"/>
  <c r="N61" i="2"/>
  <c r="M61" i="2"/>
  <c r="L61" i="2"/>
  <c r="K61" i="2"/>
  <c r="J61" i="2"/>
  <c r="I61" i="2"/>
  <c r="P61" i="2"/>
  <c r="S61" i="2"/>
  <c r="R56" i="2"/>
  <c r="Q56" i="2"/>
  <c r="O56" i="2"/>
  <c r="N56" i="2"/>
  <c r="K56" i="2"/>
  <c r="J56" i="2"/>
  <c r="R23" i="2"/>
  <c r="R26" i="2" s="1"/>
  <c r="Q23" i="2"/>
  <c r="Q26" i="2" s="1"/>
  <c r="P23" i="2"/>
  <c r="P26" i="2" s="1"/>
  <c r="O23" i="2"/>
  <c r="O26" i="2" s="1"/>
  <c r="M23" i="2"/>
  <c r="M26" i="2" s="1"/>
  <c r="L23" i="2"/>
  <c r="L26" i="2" s="1"/>
  <c r="K23" i="2"/>
  <c r="J23" i="2"/>
  <c r="J26" i="2" s="1"/>
  <c r="I23" i="2"/>
  <c r="I26" i="2" s="1"/>
  <c r="H61" i="2"/>
  <c r="H56" i="2"/>
  <c r="H62" i="2" l="1"/>
  <c r="Q61" i="2"/>
  <c r="L56" i="2"/>
  <c r="I56" i="2"/>
  <c r="H200" i="2"/>
  <c r="H192" i="2"/>
  <c r="H160" i="2"/>
  <c r="H170" i="2" s="1"/>
  <c r="H137" i="2"/>
  <c r="W137" i="2" s="1"/>
  <c r="H111" i="2"/>
  <c r="H23" i="2" l="1"/>
  <c r="H26" i="2" l="1"/>
  <c r="H205" i="2" s="1"/>
  <c r="H210" i="2" s="1"/>
  <c r="W23" i="2"/>
  <c r="K155" i="2"/>
  <c r="J155" i="2"/>
  <c r="I155" i="2"/>
  <c r="K77" i="2"/>
  <c r="L62" i="2"/>
  <c r="L71" i="2" s="1"/>
  <c r="M205" i="2"/>
  <c r="I205" i="2"/>
  <c r="T191" i="2"/>
  <c r="T190" i="2"/>
  <c r="T185" i="2"/>
  <c r="T184" i="2"/>
  <c r="T183" i="2"/>
  <c r="T181" i="2"/>
  <c r="T180" i="2"/>
  <c r="T179" i="2"/>
  <c r="T178" i="2"/>
  <c r="T177" i="2"/>
  <c r="T176" i="2"/>
  <c r="T175" i="2"/>
  <c r="T174" i="2"/>
  <c r="T169" i="2"/>
  <c r="T168" i="2"/>
  <c r="T167" i="2"/>
  <c r="T166" i="2"/>
  <c r="T165" i="2"/>
  <c r="T164" i="2"/>
  <c r="T163" i="2"/>
  <c r="T162" i="2"/>
  <c r="T161" i="2"/>
  <c r="T159" i="2"/>
  <c r="T158" i="2"/>
  <c r="T144" i="2"/>
  <c r="T143" i="2"/>
  <c r="T142" i="2"/>
  <c r="T141" i="2"/>
  <c r="T140" i="2"/>
  <c r="T139" i="2"/>
  <c r="T135" i="2"/>
  <c r="T134" i="2"/>
  <c r="T132" i="2"/>
  <c r="T131" i="2"/>
  <c r="T130" i="2"/>
  <c r="T129" i="2"/>
  <c r="T128" i="2"/>
  <c r="T127" i="2"/>
  <c r="T126" i="2"/>
  <c r="T125" i="2"/>
  <c r="T124" i="2"/>
  <c r="T123" i="2"/>
  <c r="T122" i="2"/>
  <c r="T121" i="2"/>
  <c r="T120" i="2"/>
  <c r="T119" i="2"/>
  <c r="T117" i="2"/>
  <c r="T116" i="2"/>
  <c r="T115" i="2"/>
  <c r="T114" i="2"/>
  <c r="T110" i="2"/>
  <c r="T109" i="2"/>
  <c r="T106" i="2"/>
  <c r="T105" i="2"/>
  <c r="T104" i="2"/>
  <c r="T101" i="2"/>
  <c r="T100" i="2"/>
  <c r="T99" i="2"/>
  <c r="T98" i="2"/>
  <c r="T97" i="2"/>
  <c r="T96" i="2"/>
  <c r="T95" i="2"/>
  <c r="T94" i="2"/>
  <c r="T93" i="2"/>
  <c r="T85" i="2"/>
  <c r="T84" i="2"/>
  <c r="T83" i="2"/>
  <c r="T82" i="2"/>
  <c r="T80" i="2"/>
  <c r="T76" i="2"/>
  <c r="T74" i="2"/>
  <c r="T63" i="2"/>
  <c r="T55" i="2"/>
  <c r="T54" i="2"/>
  <c r="T43" i="2"/>
  <c r="T42" i="2"/>
  <c r="T36" i="2"/>
  <c r="T35" i="2"/>
  <c r="T34" i="2"/>
  <c r="T32" i="2"/>
  <c r="T31" i="2"/>
  <c r="T30" i="2"/>
  <c r="T29" i="2"/>
  <c r="T28" i="2"/>
  <c r="T136" i="2" l="1"/>
  <c r="H47" i="2"/>
  <c r="H48" i="2" s="1"/>
  <c r="T44" i="2"/>
  <c r="T148" i="2"/>
  <c r="M210" i="2" l="1"/>
  <c r="M87" i="2" l="1"/>
  <c r="M77" i="2"/>
  <c r="M62" i="2"/>
  <c r="M71" i="2" s="1"/>
  <c r="M47" i="2"/>
  <c r="M48" i="2" s="1"/>
  <c r="M171" i="2" l="1"/>
  <c r="M201" i="2" s="1"/>
  <c r="M202" i="2" s="1"/>
  <c r="L155" i="2" l="1"/>
  <c r="L87" i="2"/>
  <c r="K87" i="2"/>
  <c r="L77" i="2"/>
  <c r="J77" i="2"/>
  <c r="K62" i="2"/>
  <c r="K71" i="2" s="1"/>
  <c r="K26" i="2"/>
  <c r="K205" i="2" s="1"/>
  <c r="K210" i="2" s="1"/>
  <c r="W10" i="2"/>
  <c r="U10" i="2" s="1"/>
  <c r="W11" i="2"/>
  <c r="K171" i="2" l="1"/>
  <c r="K201" i="2" s="1"/>
  <c r="Y10" i="2"/>
  <c r="L205" i="2"/>
  <c r="L210" i="2" s="1"/>
  <c r="L171" i="2"/>
  <c r="L201" i="2" s="1"/>
  <c r="L47" i="2"/>
  <c r="L48" i="2" s="1"/>
  <c r="K47" i="2"/>
  <c r="K48" i="2" s="1"/>
  <c r="W40" i="2"/>
  <c r="Y40" i="2" s="1"/>
  <c r="I47" i="2"/>
  <c r="I48" i="2" s="1"/>
  <c r="I62" i="2"/>
  <c r="I71" i="2" s="1"/>
  <c r="I77" i="2"/>
  <c r="I87" i="2"/>
  <c r="I210" i="2"/>
  <c r="Y38" i="2" l="1"/>
  <c r="U40" i="2"/>
  <c r="K202" i="2"/>
  <c r="I171" i="2"/>
  <c r="I201" i="2" s="1"/>
  <c r="I202" i="2" s="1"/>
  <c r="L202" i="2"/>
  <c r="H155" i="2"/>
  <c r="H87" i="2"/>
  <c r="H77" i="2"/>
  <c r="H71" i="2" l="1"/>
  <c r="H171" i="2" l="1"/>
  <c r="H201" i="2" l="1"/>
  <c r="H202" i="2" s="1"/>
  <c r="AA38" i="2"/>
  <c r="U38" i="2" s="1"/>
  <c r="AG38" i="2"/>
  <c r="T11" i="2"/>
  <c r="T12" i="2"/>
  <c r="T13" i="2"/>
  <c r="T15" i="2"/>
  <c r="T16" i="2"/>
  <c r="T17" i="2"/>
  <c r="T19" i="2"/>
  <c r="T21" i="2"/>
  <c r="T22" i="2"/>
  <c r="T24" i="2"/>
  <c r="AF38" i="2" l="1"/>
  <c r="AA11" i="2" l="1"/>
  <c r="W37" i="2" l="1"/>
  <c r="Y37" i="2" l="1"/>
  <c r="W76" i="2"/>
  <c r="Y76" i="2" s="1"/>
  <c r="AG128" i="2"/>
  <c r="W128" i="2"/>
  <c r="Y128" i="2" s="1"/>
  <c r="AE128" i="2" l="1"/>
  <c r="U128" i="2"/>
  <c r="Y11" i="2" l="1"/>
  <c r="U11" i="2"/>
  <c r="AA70" i="2"/>
  <c r="W70" i="2"/>
  <c r="Y70" i="2" s="1"/>
  <c r="AE70" i="2" l="1"/>
  <c r="U70" i="2"/>
  <c r="AG104" i="2" l="1"/>
  <c r="AG105" i="2"/>
  <c r="AG106" i="2"/>
  <c r="AG109" i="2"/>
  <c r="AG110" i="2"/>
  <c r="AC136" i="2"/>
  <c r="T137" i="2" s="1"/>
  <c r="V136" i="2"/>
  <c r="T111" i="2"/>
  <c r="AD44" i="2"/>
  <c r="AD45" i="2" s="1"/>
  <c r="AD23" i="2"/>
  <c r="AD26" i="2" s="1"/>
  <c r="AC61" i="2"/>
  <c r="AG43" i="2"/>
  <c r="AD47" i="2" l="1"/>
  <c r="AD48" i="2" s="1"/>
  <c r="R155" i="2" l="1"/>
  <c r="S155" i="2"/>
  <c r="W191" i="2"/>
  <c r="Y191" i="2" s="1"/>
  <c r="W190" i="2"/>
  <c r="Y190" i="2" s="1"/>
  <c r="W185" i="2"/>
  <c r="Y185" i="2" s="1"/>
  <c r="W184" i="2"/>
  <c r="Y184" i="2" s="1"/>
  <c r="W183" i="2"/>
  <c r="Y183" i="2" s="1"/>
  <c r="W181" i="2"/>
  <c r="Y181" i="2" s="1"/>
  <c r="W180" i="2"/>
  <c r="Y180" i="2" s="1"/>
  <c r="W179" i="2"/>
  <c r="Y179" i="2" s="1"/>
  <c r="W178" i="2"/>
  <c r="Y178" i="2" s="1"/>
  <c r="W177" i="2"/>
  <c r="Y177" i="2" s="1"/>
  <c r="W176" i="2"/>
  <c r="Y176" i="2" s="1"/>
  <c r="W175" i="2"/>
  <c r="Y175" i="2" s="1"/>
  <c r="W174" i="2"/>
  <c r="Y174" i="2" s="1"/>
  <c r="W169" i="2"/>
  <c r="Y169" i="2" s="1"/>
  <c r="W168" i="2"/>
  <c r="Y168" i="2" s="1"/>
  <c r="W167" i="2"/>
  <c r="Y167" i="2" s="1"/>
  <c r="W166" i="2"/>
  <c r="Y166" i="2" s="1"/>
  <c r="W165" i="2"/>
  <c r="Y165" i="2" s="1"/>
  <c r="W164" i="2"/>
  <c r="Y164" i="2" s="1"/>
  <c r="W163" i="2"/>
  <c r="Y163" i="2" s="1"/>
  <c r="W162" i="2"/>
  <c r="Y162" i="2" s="1"/>
  <c r="W161" i="2"/>
  <c r="Y161" i="2" s="1"/>
  <c r="W159" i="2"/>
  <c r="Y159" i="2" s="1"/>
  <c r="W158" i="2"/>
  <c r="Y158" i="2" s="1"/>
  <c r="W154" i="2"/>
  <c r="Y154" i="2" s="1"/>
  <c r="W153" i="2"/>
  <c r="Y153" i="2" s="1"/>
  <c r="W152" i="2"/>
  <c r="Y152" i="2" s="1"/>
  <c r="W151" i="2"/>
  <c r="Y151" i="2" s="1"/>
  <c r="W150" i="2"/>
  <c r="Y150" i="2" s="1"/>
  <c r="W149" i="2"/>
  <c r="Y149" i="2" s="1"/>
  <c r="W148" i="2"/>
  <c r="Y148" i="2" s="1"/>
  <c r="W144" i="2"/>
  <c r="Y144" i="2" s="1"/>
  <c r="W143" i="2"/>
  <c r="Y143" i="2" s="1"/>
  <c r="W142" i="2"/>
  <c r="Y142" i="2" s="1"/>
  <c r="W141" i="2"/>
  <c r="Y141" i="2" s="1"/>
  <c r="W140" i="2"/>
  <c r="Y140" i="2" s="1"/>
  <c r="W135" i="2"/>
  <c r="Y135" i="2" s="1"/>
  <c r="W134" i="2"/>
  <c r="Y134" i="2" s="1"/>
  <c r="W132" i="2"/>
  <c r="Y132" i="2" s="1"/>
  <c r="W131" i="2"/>
  <c r="Y131" i="2" s="1"/>
  <c r="W130" i="2"/>
  <c r="Y130" i="2" s="1"/>
  <c r="W129" i="2"/>
  <c r="Y129" i="2" s="1"/>
  <c r="W127" i="2"/>
  <c r="Y127" i="2" s="1"/>
  <c r="W126" i="2"/>
  <c r="Y126" i="2" s="1"/>
  <c r="W125" i="2"/>
  <c r="Y125" i="2" s="1"/>
  <c r="W124" i="2"/>
  <c r="Y124" i="2" s="1"/>
  <c r="W122" i="2"/>
  <c r="Y122" i="2" s="1"/>
  <c r="W121" i="2"/>
  <c r="Y121" i="2" s="1"/>
  <c r="W120" i="2"/>
  <c r="Y120" i="2" s="1"/>
  <c r="W119" i="2"/>
  <c r="Y119" i="2" s="1"/>
  <c r="W118" i="2"/>
  <c r="Y118" i="2" s="1"/>
  <c r="W117" i="2"/>
  <c r="Y117" i="2" s="1"/>
  <c r="W116" i="2"/>
  <c r="Y116" i="2" s="1"/>
  <c r="W115" i="2"/>
  <c r="Y115" i="2" s="1"/>
  <c r="W114" i="2"/>
  <c r="Y114" i="2" s="1"/>
  <c r="W110" i="2"/>
  <c r="Y110" i="2" s="1"/>
  <c r="W109" i="2"/>
  <c r="Y109" i="2" s="1"/>
  <c r="W108" i="2"/>
  <c r="Y108" i="2" s="1"/>
  <c r="W107" i="2"/>
  <c r="Y107" i="2" s="1"/>
  <c r="W106" i="2"/>
  <c r="Y106" i="2" s="1"/>
  <c r="W105" i="2"/>
  <c r="Y105" i="2" s="1"/>
  <c r="W104" i="2"/>
  <c r="Y104" i="2" s="1"/>
  <c r="W101" i="2"/>
  <c r="Y101" i="2" s="1"/>
  <c r="W100" i="2"/>
  <c r="Y100" i="2" s="1"/>
  <c r="W99" i="2"/>
  <c r="Y99" i="2" s="1"/>
  <c r="W98" i="2"/>
  <c r="W97" i="2"/>
  <c r="Y97" i="2" s="1"/>
  <c r="W95" i="2"/>
  <c r="Y95" i="2" s="1"/>
  <c r="W94" i="2"/>
  <c r="Y94" i="2" s="1"/>
  <c r="Y93" i="2"/>
  <c r="W92" i="2"/>
  <c r="W86" i="2"/>
  <c r="Y86" i="2" s="1"/>
  <c r="W85" i="2"/>
  <c r="Y85" i="2" s="1"/>
  <c r="W84" i="2"/>
  <c r="Y84" i="2" s="1"/>
  <c r="W83" i="2"/>
  <c r="Y83" i="2" s="1"/>
  <c r="W82" i="2"/>
  <c r="Y82" i="2" s="1"/>
  <c r="W81" i="2"/>
  <c r="Y81" i="2" s="1"/>
  <c r="W80" i="2"/>
  <c r="Y80" i="2" s="1"/>
  <c r="W79" i="2"/>
  <c r="Y79" i="2" s="1"/>
  <c r="AE76" i="2"/>
  <c r="W75" i="2"/>
  <c r="AE75" i="2" s="1"/>
  <c r="W74" i="2"/>
  <c r="Y74" i="2" s="1"/>
  <c r="W69" i="2"/>
  <c r="W68" i="2"/>
  <c r="Y68" i="2" s="1"/>
  <c r="W67" i="2"/>
  <c r="Y67" i="2" s="1"/>
  <c r="W66" i="2"/>
  <c r="W65" i="2"/>
  <c r="AE65" i="2" s="1"/>
  <c r="W64" i="2"/>
  <c r="W63" i="2"/>
  <c r="Y63" i="2" s="1"/>
  <c r="W60" i="2"/>
  <c r="Y60" i="2" s="1"/>
  <c r="W59" i="2"/>
  <c r="Y59" i="2" s="1"/>
  <c r="W58" i="2"/>
  <c r="W55" i="2"/>
  <c r="Y55" i="2" s="1"/>
  <c r="W54" i="2"/>
  <c r="Y54" i="2" s="1"/>
  <c r="W43" i="2"/>
  <c r="Y43" i="2" s="1"/>
  <c r="W42" i="2"/>
  <c r="Y42" i="2" s="1"/>
  <c r="W41" i="2"/>
  <c r="U41" i="2" s="1"/>
  <c r="W36" i="2"/>
  <c r="Y36" i="2" s="1"/>
  <c r="W35" i="2"/>
  <c r="Y35" i="2" s="1"/>
  <c r="W34" i="2"/>
  <c r="Y34" i="2" s="1"/>
  <c r="W33" i="2"/>
  <c r="Y33" i="2" s="1"/>
  <c r="W32" i="2"/>
  <c r="Y32" i="2" s="1"/>
  <c r="W31" i="2"/>
  <c r="W30" i="2"/>
  <c r="W29" i="2"/>
  <c r="W24" i="2"/>
  <c r="Y24" i="2" s="1"/>
  <c r="W22" i="2"/>
  <c r="W21" i="2"/>
  <c r="W19" i="2"/>
  <c r="W18" i="2"/>
  <c r="Y18" i="2" s="1"/>
  <c r="W17" i="2"/>
  <c r="W16" i="2"/>
  <c r="W15" i="2"/>
  <c r="W14" i="2"/>
  <c r="Y14" i="2" s="1"/>
  <c r="W13" i="2"/>
  <c r="W12" i="2"/>
  <c r="W139" i="2"/>
  <c r="Y139" i="2" s="1"/>
  <c r="R87" i="2"/>
  <c r="S87" i="2"/>
  <c r="R77" i="2"/>
  <c r="S77" i="2"/>
  <c r="AA14" i="2"/>
  <c r="AE69" i="2" l="1"/>
  <c r="Y69" i="2"/>
  <c r="R205" i="2"/>
  <c r="R210" i="2" s="1"/>
  <c r="Y96" i="2"/>
  <c r="Y98" i="2"/>
  <c r="U14" i="2"/>
  <c r="Y16" i="2"/>
  <c r="Y19" i="2"/>
  <c r="Y12" i="2"/>
  <c r="Y13" i="2"/>
  <c r="Y17" i="2"/>
  <c r="Y15" i="2"/>
  <c r="Y21" i="2"/>
  <c r="Y22" i="2"/>
  <c r="Y29" i="2"/>
  <c r="Y30" i="2"/>
  <c r="Y31" i="2"/>
  <c r="AE101" i="2"/>
  <c r="AE100" i="2"/>
  <c r="AE110" i="2"/>
  <c r="AE167" i="2"/>
  <c r="AE67" i="2"/>
  <c r="AE104" i="2"/>
  <c r="AE68" i="2"/>
  <c r="AE95" i="2"/>
  <c r="AE105" i="2"/>
  <c r="AE162" i="2"/>
  <c r="AE54" i="2"/>
  <c r="AE94" i="2"/>
  <c r="AE59" i="2"/>
  <c r="AE96" i="2"/>
  <c r="AE106" i="2"/>
  <c r="AE163" i="2"/>
  <c r="AE66" i="2"/>
  <c r="AE168" i="2"/>
  <c r="AE60" i="2"/>
  <c r="AE74" i="2"/>
  <c r="AE97" i="2"/>
  <c r="AE107" i="2"/>
  <c r="AE164" i="2"/>
  <c r="AE161" i="2"/>
  <c r="AE63" i="2"/>
  <c r="AE98" i="2"/>
  <c r="AE108" i="2"/>
  <c r="AE165" i="2"/>
  <c r="AE55" i="2"/>
  <c r="AE169" i="2"/>
  <c r="AE64" i="2"/>
  <c r="AE99" i="2"/>
  <c r="AE109" i="2"/>
  <c r="AE166" i="2"/>
  <c r="W136" i="2"/>
  <c r="Y136" i="2" s="1"/>
  <c r="W111" i="2"/>
  <c r="Y111" i="2" s="1"/>
  <c r="R47" i="2"/>
  <c r="R48" i="2" s="1"/>
  <c r="S62" i="2"/>
  <c r="R62" i="2"/>
  <c r="R71" i="2" s="1"/>
  <c r="S205" i="2" l="1"/>
  <c r="S210" i="2" s="1"/>
  <c r="R171" i="2"/>
  <c r="R201" i="2" s="1"/>
  <c r="R202" i="2" s="1"/>
  <c r="S47" i="2"/>
  <c r="S48" i="2" s="1"/>
  <c r="AE111" i="2"/>
  <c r="S71" i="2"/>
  <c r="S171" i="2" s="1"/>
  <c r="S201" i="2" s="1"/>
  <c r="P155" i="2"/>
  <c r="P87" i="2"/>
  <c r="P77" i="2"/>
  <c r="AA110" i="2"/>
  <c r="O155" i="2"/>
  <c r="O87" i="2"/>
  <c r="O77" i="2"/>
  <c r="N155" i="2"/>
  <c r="N87" i="2"/>
  <c r="N77" i="2"/>
  <c r="AC102" i="2"/>
  <c r="T102" i="2" s="1"/>
  <c r="AA79" i="2"/>
  <c r="S202" i="2" l="1"/>
  <c r="O205" i="2"/>
  <c r="O210" i="2" s="1"/>
  <c r="AF110" i="2"/>
  <c r="P62" i="2"/>
  <c r="P71" i="2" s="1"/>
  <c r="P171" i="2" s="1"/>
  <c r="P201" i="2" s="1"/>
  <c r="O62" i="2"/>
  <c r="O71" i="2" s="1"/>
  <c r="O171" i="2" s="1"/>
  <c r="O201" i="2" s="1"/>
  <c r="O47" i="2"/>
  <c r="O48" i="2" s="1"/>
  <c r="N62" i="2"/>
  <c r="W113" i="2"/>
  <c r="O202" i="2" l="1"/>
  <c r="N205" i="2"/>
  <c r="N210" i="2" s="1"/>
  <c r="P205" i="2"/>
  <c r="P210" i="2" s="1"/>
  <c r="N71" i="2"/>
  <c r="P47" i="2"/>
  <c r="P48" i="2" s="1"/>
  <c r="P202" i="2" s="1"/>
  <c r="N48" i="2"/>
  <c r="AA191" i="2"/>
  <c r="AA190" i="2"/>
  <c r="AA187" i="2"/>
  <c r="U187" i="2" s="1"/>
  <c r="AA186" i="2"/>
  <c r="U186" i="2" s="1"/>
  <c r="AA185" i="2"/>
  <c r="AA184" i="2"/>
  <c r="AA183" i="2"/>
  <c r="AA181" i="2"/>
  <c r="AA180" i="2"/>
  <c r="AA179" i="2"/>
  <c r="AA178" i="2"/>
  <c r="AA177" i="2"/>
  <c r="AA176" i="2"/>
  <c r="AA175" i="2"/>
  <c r="AA174" i="2"/>
  <c r="AA169" i="2"/>
  <c r="AA168" i="2"/>
  <c r="AA167" i="2"/>
  <c r="AA166" i="2"/>
  <c r="AA165" i="2"/>
  <c r="AA164" i="2"/>
  <c r="AA163" i="2"/>
  <c r="AA162" i="2"/>
  <c r="AA161" i="2"/>
  <c r="AA159" i="2"/>
  <c r="AA158" i="2"/>
  <c r="AA154" i="2"/>
  <c r="AA153" i="2"/>
  <c r="AA152" i="2"/>
  <c r="AA151" i="2"/>
  <c r="AA150" i="2"/>
  <c r="AA149" i="2"/>
  <c r="AA148" i="2"/>
  <c r="AA144" i="2"/>
  <c r="AA143" i="2"/>
  <c r="AA142" i="2"/>
  <c r="AA141" i="2"/>
  <c r="AA140" i="2"/>
  <c r="AA139" i="2"/>
  <c r="AA135" i="2"/>
  <c r="AA134" i="2"/>
  <c r="AA132" i="2"/>
  <c r="AA131" i="2"/>
  <c r="AA130" i="2"/>
  <c r="AA129" i="2"/>
  <c r="AA127" i="2"/>
  <c r="AA126" i="2"/>
  <c r="AA125" i="2"/>
  <c r="AA124" i="2"/>
  <c r="AA122" i="2"/>
  <c r="AA121" i="2"/>
  <c r="AA120" i="2"/>
  <c r="AA119" i="2"/>
  <c r="AA118" i="2"/>
  <c r="AA117" i="2"/>
  <c r="AA116" i="2"/>
  <c r="AA115" i="2"/>
  <c r="AA114" i="2"/>
  <c r="AA109" i="2"/>
  <c r="AA108" i="2"/>
  <c r="AA107" i="2"/>
  <c r="AA106" i="2"/>
  <c r="AA105" i="2"/>
  <c r="AA104" i="2"/>
  <c r="AA101" i="2"/>
  <c r="AA100" i="2"/>
  <c r="AA99" i="2"/>
  <c r="AA98" i="2"/>
  <c r="U98" i="2" s="1"/>
  <c r="AA97" i="2"/>
  <c r="AA96" i="2"/>
  <c r="U96" i="2" s="1"/>
  <c r="AA95" i="2"/>
  <c r="AA94" i="2"/>
  <c r="AA93" i="2"/>
  <c r="U92" i="2"/>
  <c r="AA85" i="2"/>
  <c r="AA84" i="2"/>
  <c r="AA83" i="2"/>
  <c r="AA82" i="2"/>
  <c r="AA81" i="2"/>
  <c r="AA80" i="2"/>
  <c r="AA76" i="2"/>
  <c r="AA75" i="2"/>
  <c r="AA69" i="2"/>
  <c r="AA68" i="2"/>
  <c r="AA67" i="2"/>
  <c r="AA66" i="2"/>
  <c r="AA65" i="2"/>
  <c r="AA64" i="2"/>
  <c r="AA63" i="2"/>
  <c r="AA60" i="2"/>
  <c r="AA59" i="2"/>
  <c r="AA55" i="2"/>
  <c r="AA54" i="2"/>
  <c r="AA43" i="2"/>
  <c r="AA42" i="2"/>
  <c r="AA37" i="2"/>
  <c r="U37" i="2" s="1"/>
  <c r="AA36" i="2"/>
  <c r="U36" i="2" s="1"/>
  <c r="AA35" i="2"/>
  <c r="U35" i="2" s="1"/>
  <c r="AA34" i="2"/>
  <c r="U34" i="2" s="1"/>
  <c r="AA33" i="2"/>
  <c r="U33" i="2" s="1"/>
  <c r="AA32" i="2"/>
  <c r="U32" i="2" s="1"/>
  <c r="AA31" i="2"/>
  <c r="U31" i="2" s="1"/>
  <c r="AA30" i="2"/>
  <c r="U30" i="2" s="1"/>
  <c r="AA29" i="2"/>
  <c r="U29" i="2" s="1"/>
  <c r="AA28" i="2"/>
  <c r="AA24" i="2"/>
  <c r="U24" i="2" s="1"/>
  <c r="AA22" i="2"/>
  <c r="U22" i="2" s="1"/>
  <c r="AA21" i="2"/>
  <c r="U21" i="2" s="1"/>
  <c r="AA19" i="2"/>
  <c r="U19" i="2" s="1"/>
  <c r="AA18" i="2"/>
  <c r="AA17" i="2"/>
  <c r="U17" i="2" s="1"/>
  <c r="AA16" i="2"/>
  <c r="U16" i="2" s="1"/>
  <c r="AA15" i="2"/>
  <c r="U15" i="2" s="1"/>
  <c r="AA13" i="2"/>
  <c r="U13" i="2" s="1"/>
  <c r="AA12" i="2"/>
  <c r="AA193" i="2" l="1"/>
  <c r="AF193" i="2" s="1"/>
  <c r="AA137" i="2"/>
  <c r="AA111" i="2"/>
  <c r="AA44" i="2"/>
  <c r="AA45" i="2" s="1"/>
  <c r="N171" i="2"/>
  <c r="N201" i="2" s="1"/>
  <c r="N202" i="2" s="1"/>
  <c r="AA192" i="2"/>
  <c r="AA102" i="2"/>
  <c r="U12" i="2"/>
  <c r="U60" i="2"/>
  <c r="AF109" i="2"/>
  <c r="AF114" i="2"/>
  <c r="U158" i="2"/>
  <c r="U59" i="2"/>
  <c r="U159" i="2"/>
  <c r="AF104" i="2"/>
  <c r="AF105" i="2"/>
  <c r="AF174" i="2"/>
  <c r="AF106" i="2"/>
  <c r="U190" i="2"/>
  <c r="AA136" i="2"/>
  <c r="J87" i="2"/>
  <c r="J205" i="2" l="1"/>
  <c r="J210" i="2" s="1"/>
  <c r="J47" i="2"/>
  <c r="J48" i="2" s="1"/>
  <c r="J62" i="2"/>
  <c r="J71" i="2" l="1"/>
  <c r="AA200" i="2"/>
  <c r="J171" i="2" l="1"/>
  <c r="J201" i="2" s="1"/>
  <c r="J202" i="2" s="1"/>
  <c r="Q155" i="2"/>
  <c r="W155" i="2" s="1"/>
  <c r="Q87" i="2"/>
  <c r="Q77" i="2"/>
  <c r="Q62" i="2" l="1"/>
  <c r="Q205" i="2" l="1"/>
  <c r="Q210" i="2" s="1"/>
  <c r="Q47" i="2"/>
  <c r="Q71" i="2"/>
  <c r="Q171" i="2" s="1"/>
  <c r="Q201" i="2" s="1"/>
  <c r="AC192" i="2"/>
  <c r="W146" i="2"/>
  <c r="AE81" i="2"/>
  <c r="AG96" i="2"/>
  <c r="AG98" i="2"/>
  <c r="AA86" i="2"/>
  <c r="AG81" i="2"/>
  <c r="AF81" i="2"/>
  <c r="T192" i="2" l="1"/>
  <c r="Q48" i="2"/>
  <c r="Q202" i="2" s="1"/>
  <c r="AE144" i="2"/>
  <c r="U144" i="2"/>
  <c r="U110" i="2"/>
  <c r="U81" i="2"/>
  <c r="AC200" i="2" l="1"/>
  <c r="T200" i="2" s="1"/>
  <c r="U111" i="2"/>
  <c r="Y102" i="2"/>
  <c r="AF98" i="2" l="1"/>
  <c r="AF96" i="2"/>
  <c r="AE185" i="2" l="1"/>
  <c r="U85" i="2"/>
  <c r="U84" i="2"/>
  <c r="U83" i="2"/>
  <c r="U82" i="2"/>
  <c r="AF33" i="2"/>
  <c r="AG33" i="2"/>
  <c r="AM33" i="2"/>
  <c r="W90" i="2" l="1"/>
  <c r="W91" i="2"/>
  <c r="Y113" i="2"/>
  <c r="U80" i="2" l="1"/>
  <c r="U79" i="2"/>
  <c r="T86" i="2" l="1"/>
  <c r="T90" i="2"/>
  <c r="T91" i="2"/>
  <c r="T113" i="2"/>
  <c r="T149" i="2"/>
  <c r="T150" i="2"/>
  <c r="T151" i="2"/>
  <c r="T152" i="2"/>
  <c r="T153" i="2"/>
  <c r="T154" i="2"/>
  <c r="AC160" i="2" l="1"/>
  <c r="T160" i="2" s="1"/>
  <c r="AC155" i="2"/>
  <c r="T155" i="2" s="1"/>
  <c r="AB155" i="2"/>
  <c r="AB192" i="2"/>
  <c r="AB199" i="2" s="1"/>
  <c r="AD171" i="2"/>
  <c r="U171" i="2" s="1"/>
  <c r="AB160" i="2"/>
  <c r="AB170" i="2" s="1"/>
  <c r="AB146" i="2"/>
  <c r="AC146" i="2"/>
  <c r="AB137" i="2"/>
  <c r="AB111" i="2"/>
  <c r="AB102" i="2"/>
  <c r="AB87" i="2"/>
  <c r="T87" i="2"/>
  <c r="AB77" i="2"/>
  <c r="AC77" i="2"/>
  <c r="T77" i="2" s="1"/>
  <c r="AB62" i="2"/>
  <c r="AB71" i="2" s="1"/>
  <c r="AC56" i="2"/>
  <c r="AC23" i="2"/>
  <c r="T23" i="2" l="1"/>
  <c r="AC26" i="2"/>
  <c r="Y146" i="2"/>
  <c r="T146" i="2"/>
  <c r="T45" i="2"/>
  <c r="AC170" i="2"/>
  <c r="T170" i="2" s="1"/>
  <c r="AB171" i="2"/>
  <c r="AC62" i="2"/>
  <c r="AC71" i="2" s="1"/>
  <c r="U65" i="2"/>
  <c r="U107" i="2"/>
  <c r="U108" i="2"/>
  <c r="U113" i="2"/>
  <c r="U166" i="2"/>
  <c r="U43" i="2"/>
  <c r="AG169" i="2"/>
  <c r="AF169" i="2" s="1"/>
  <c r="T26" i="2" l="1"/>
  <c r="AC171" i="2"/>
  <c r="AC201" i="2" s="1"/>
  <c r="AC47" i="2"/>
  <c r="AC205" i="2" s="1"/>
  <c r="T62" i="2"/>
  <c r="U169" i="2"/>
  <c r="AC48" i="2" l="1"/>
  <c r="T48" i="2" s="1"/>
  <c r="T47" i="2"/>
  <c r="T205" i="2" s="1"/>
  <c r="T71" i="2"/>
  <c r="T171" i="2" s="1"/>
  <c r="T201" i="2" s="1"/>
  <c r="W192" i="2"/>
  <c r="Y192" i="2" s="1"/>
  <c r="Y155" i="2"/>
  <c r="Y137" i="2"/>
  <c r="W87" i="2"/>
  <c r="Y87" i="2" s="1"/>
  <c r="W77" i="2"/>
  <c r="Y77" i="2" s="1"/>
  <c r="W61" i="2"/>
  <c r="Y61" i="2" s="1"/>
  <c r="W56" i="2"/>
  <c r="Y56" i="2" s="1"/>
  <c r="Y23" i="2"/>
  <c r="AG59" i="2"/>
  <c r="AG16" i="2"/>
  <c r="AG15" i="2"/>
  <c r="AF187" i="2"/>
  <c r="AF186" i="2"/>
  <c r="AF173" i="2"/>
  <c r="AF172" i="2"/>
  <c r="AF156" i="2"/>
  <c r="AF147" i="2"/>
  <c r="AF138" i="2"/>
  <c r="AF113" i="2"/>
  <c r="AF112" i="2"/>
  <c r="AF89" i="2"/>
  <c r="AF88" i="2"/>
  <c r="AF78" i="2"/>
  <c r="AF72" i="2"/>
  <c r="AF58" i="2"/>
  <c r="AF53" i="2"/>
  <c r="AF52" i="2"/>
  <c r="AF51" i="2"/>
  <c r="AF50" i="2"/>
  <c r="AF49" i="2"/>
  <c r="AF43" i="2"/>
  <c r="AF27" i="2"/>
  <c r="AC202" i="2" l="1"/>
  <c r="W44" i="2"/>
  <c r="Y44" i="2" s="1"/>
  <c r="W160" i="2"/>
  <c r="Y160" i="2" s="1"/>
  <c r="W170" i="2"/>
  <c r="Y170" i="2" s="1"/>
  <c r="Y199" i="2"/>
  <c r="W26" i="2"/>
  <c r="AF59" i="2"/>
  <c r="AF16" i="2"/>
  <c r="AF15" i="2"/>
  <c r="W45" i="2" l="1"/>
  <c r="Y45" i="2" s="1"/>
  <c r="W205" i="2"/>
  <c r="Y205" i="2" s="1"/>
  <c r="Y26" i="2"/>
  <c r="W200" i="2"/>
  <c r="Y200" i="2" s="1"/>
  <c r="T202" i="2"/>
  <c r="W47" i="2"/>
  <c r="Y47" i="2" s="1"/>
  <c r="AG134" i="2"/>
  <c r="U134" i="2" s="1"/>
  <c r="AG132" i="2"/>
  <c r="AE132" i="2"/>
  <c r="U109" i="2"/>
  <c r="AF134" i="2" l="1"/>
  <c r="AE134" i="2"/>
  <c r="U132" i="2"/>
  <c r="W48" i="2" l="1"/>
  <c r="Y48" i="2" s="1"/>
  <c r="AF132" i="2"/>
  <c r="AE135" i="2"/>
  <c r="AE136" i="2" s="1"/>
  <c r="AE191" i="2" l="1"/>
  <c r="AE179" i="2"/>
  <c r="AE177" i="2"/>
  <c r="AE158" i="2"/>
  <c r="AE154" i="2"/>
  <c r="AE151" i="2"/>
  <c r="AE142" i="2"/>
  <c r="AE141" i="2"/>
  <c r="AE130" i="2"/>
  <c r="AE121" i="2"/>
  <c r="AE119" i="2"/>
  <c r="AE117" i="2"/>
  <c r="AE86" i="2"/>
  <c r="AE82" i="2"/>
  <c r="AG151" i="2"/>
  <c r="AE124" i="2"/>
  <c r="AG124" i="2"/>
  <c r="U124" i="2" s="1"/>
  <c r="AG86" i="2"/>
  <c r="U86" i="2" s="1"/>
  <c r="AG191" i="2"/>
  <c r="U191" i="2" s="1"/>
  <c r="U192" i="2" s="1"/>
  <c r="AG190" i="2"/>
  <c r="AG187" i="2"/>
  <c r="AE187" i="2"/>
  <c r="AG186" i="2"/>
  <c r="AE186" i="2"/>
  <c r="AG185" i="2"/>
  <c r="U185" i="2" s="1"/>
  <c r="AG184" i="2"/>
  <c r="AG183" i="2"/>
  <c r="U183" i="2" s="1"/>
  <c r="AE183" i="2"/>
  <c r="AG181" i="2"/>
  <c r="U181" i="2" s="1"/>
  <c r="AE181" i="2"/>
  <c r="AG180" i="2"/>
  <c r="U180" i="2" s="1"/>
  <c r="AE180" i="2"/>
  <c r="AG179" i="2"/>
  <c r="AG178" i="2"/>
  <c r="U178" i="2" s="1"/>
  <c r="AE178" i="2"/>
  <c r="AG177" i="2"/>
  <c r="U177" i="2" s="1"/>
  <c r="AG176" i="2"/>
  <c r="U176" i="2" s="1"/>
  <c r="AG175" i="2"/>
  <c r="AE175" i="2"/>
  <c r="AG174" i="2"/>
  <c r="U174" i="2" s="1"/>
  <c r="AE174" i="2"/>
  <c r="AG173" i="2"/>
  <c r="AG168" i="2"/>
  <c r="U168" i="2" s="1"/>
  <c r="AG167" i="2"/>
  <c r="U167" i="2" s="1"/>
  <c r="AG165" i="2"/>
  <c r="U165" i="2" s="1"/>
  <c r="AG164" i="2"/>
  <c r="U164" i="2" s="1"/>
  <c r="AG163" i="2"/>
  <c r="AG162" i="2"/>
  <c r="U162" i="2" s="1"/>
  <c r="AG161" i="2"/>
  <c r="U161" i="2" s="1"/>
  <c r="AG159" i="2"/>
  <c r="AG158" i="2"/>
  <c r="AG154" i="2"/>
  <c r="U154" i="2" s="1"/>
  <c r="AG153" i="2"/>
  <c r="AE153" i="2"/>
  <c r="AG152" i="2"/>
  <c r="AG150" i="2"/>
  <c r="AG149" i="2"/>
  <c r="AG148" i="2"/>
  <c r="U148" i="2" s="1"/>
  <c r="AE148" i="2"/>
  <c r="AG144" i="2"/>
  <c r="AG143" i="2"/>
  <c r="U143" i="2" s="1"/>
  <c r="AE143" i="2"/>
  <c r="AG142" i="2"/>
  <c r="AG141" i="2"/>
  <c r="U141" i="2" s="1"/>
  <c r="AG140" i="2"/>
  <c r="AE140" i="2"/>
  <c r="AG139" i="2"/>
  <c r="U139" i="2" s="1"/>
  <c r="AE139" i="2"/>
  <c r="AG138" i="2"/>
  <c r="AG135" i="2"/>
  <c r="U135" i="2" s="1"/>
  <c r="U136" i="2" s="1"/>
  <c r="AG131" i="2"/>
  <c r="AE131" i="2"/>
  <c r="AG130" i="2"/>
  <c r="U130" i="2" s="1"/>
  <c r="AG129" i="2"/>
  <c r="AE129" i="2"/>
  <c r="AG127" i="2"/>
  <c r="U127" i="2" s="1"/>
  <c r="AE127" i="2"/>
  <c r="AG126" i="2"/>
  <c r="AE126" i="2"/>
  <c r="AG125" i="2"/>
  <c r="U125" i="2" s="1"/>
  <c r="AE125" i="2"/>
  <c r="AG122" i="2"/>
  <c r="AE122" i="2"/>
  <c r="AG121" i="2"/>
  <c r="AG120" i="2"/>
  <c r="AE120" i="2"/>
  <c r="AG119" i="2"/>
  <c r="AG118" i="2"/>
  <c r="U118" i="2" s="1"/>
  <c r="AE118" i="2"/>
  <c r="AG117" i="2"/>
  <c r="AG116" i="2"/>
  <c r="U116" i="2" s="1"/>
  <c r="AE116" i="2"/>
  <c r="AG115" i="2"/>
  <c r="AG114" i="2"/>
  <c r="U114" i="2" s="1"/>
  <c r="AE114" i="2"/>
  <c r="U104" i="2"/>
  <c r="AG101" i="2"/>
  <c r="U101" i="2" s="1"/>
  <c r="AG100" i="2"/>
  <c r="AG99" i="2"/>
  <c r="U99" i="2" s="1"/>
  <c r="AG97" i="2"/>
  <c r="AG95" i="2"/>
  <c r="U95" i="2" s="1"/>
  <c r="AG94" i="2"/>
  <c r="AG91" i="2"/>
  <c r="AE91" i="2"/>
  <c r="AG90" i="2"/>
  <c r="AA90" i="2" s="1"/>
  <c r="U90" i="2" s="1"/>
  <c r="AE90" i="2"/>
  <c r="AG85" i="2"/>
  <c r="AE85" i="2"/>
  <c r="AG84" i="2"/>
  <c r="AE84" i="2"/>
  <c r="AG83" i="2"/>
  <c r="AE83" i="2"/>
  <c r="AG82" i="2"/>
  <c r="AG80" i="2"/>
  <c r="AE80" i="2"/>
  <c r="AG79" i="2"/>
  <c r="AE79" i="2"/>
  <c r="AG78" i="2"/>
  <c r="AG76" i="2"/>
  <c r="AG75" i="2"/>
  <c r="U75" i="2" s="1"/>
  <c r="AG74" i="2"/>
  <c r="AG72" i="2"/>
  <c r="AG69" i="2"/>
  <c r="AG68" i="2"/>
  <c r="AG67" i="2"/>
  <c r="AG66" i="2"/>
  <c r="AG64" i="2"/>
  <c r="AG63" i="2"/>
  <c r="U63" i="2" s="1"/>
  <c r="AG55" i="2"/>
  <c r="U55" i="2" s="1"/>
  <c r="AG54" i="2"/>
  <c r="U54" i="2" s="1"/>
  <c r="AG53" i="2"/>
  <c r="AG52" i="2"/>
  <c r="AG51" i="2"/>
  <c r="AG50" i="2"/>
  <c r="AG49" i="2"/>
  <c r="AG47" i="2"/>
  <c r="AG48" i="2" s="1"/>
  <c r="AG42" i="2"/>
  <c r="U42" i="2" s="1"/>
  <c r="AG41" i="2"/>
  <c r="AG37" i="2"/>
  <c r="AG36" i="2"/>
  <c r="AG35" i="2"/>
  <c r="AM34" i="2"/>
  <c r="AG34" i="2"/>
  <c r="AM32" i="2"/>
  <c r="AG32" i="2"/>
  <c r="AJ31" i="2"/>
  <c r="AM31" i="2" s="1"/>
  <c r="AG31" i="2"/>
  <c r="AG30" i="2"/>
  <c r="AG29" i="2"/>
  <c r="AG28" i="2"/>
  <c r="AG24" i="2"/>
  <c r="AG22" i="2"/>
  <c r="AM21" i="2"/>
  <c r="AG21" i="2"/>
  <c r="AM20" i="2"/>
  <c r="AG20" i="2"/>
  <c r="AJ19" i="2"/>
  <c r="AM19" i="2" s="1"/>
  <c r="AG19" i="2"/>
  <c r="AG18" i="2"/>
  <c r="AG17" i="2"/>
  <c r="AG13" i="2"/>
  <c r="W62" i="2" l="1"/>
  <c r="Y62" i="2" s="1"/>
  <c r="U56" i="2"/>
  <c r="AE146" i="2"/>
  <c r="AF13" i="2"/>
  <c r="AF82" i="2"/>
  <c r="AF164" i="2"/>
  <c r="AF21" i="2"/>
  <c r="AF34" i="2"/>
  <c r="AF135" i="2"/>
  <c r="AF84" i="2"/>
  <c r="AF161" i="2"/>
  <c r="AF183" i="2"/>
  <c r="AF19" i="2"/>
  <c r="AF180" i="2"/>
  <c r="AF35" i="2"/>
  <c r="AF191" i="2"/>
  <c r="AF17" i="2"/>
  <c r="AF95" i="2"/>
  <c r="AF116" i="2"/>
  <c r="AF141" i="2"/>
  <c r="AF42" i="2"/>
  <c r="AF177" i="2"/>
  <c r="AF22" i="2"/>
  <c r="AF75" i="2"/>
  <c r="AF124" i="2"/>
  <c r="AF31" i="2"/>
  <c r="AF30" i="2"/>
  <c r="AF29" i="2"/>
  <c r="AF167" i="2"/>
  <c r="AF125" i="2"/>
  <c r="AF139" i="2"/>
  <c r="AF165" i="2"/>
  <c r="AF176" i="2"/>
  <c r="AF181" i="2"/>
  <c r="AF90" i="2"/>
  <c r="AF143" i="2"/>
  <c r="AF18" i="2"/>
  <c r="AF80" i="2"/>
  <c r="AF168" i="2"/>
  <c r="AF86" i="2"/>
  <c r="AF127" i="2"/>
  <c r="AF55" i="2"/>
  <c r="AF162" i="2"/>
  <c r="AF178" i="2"/>
  <c r="AF101" i="2"/>
  <c r="AF154" i="2"/>
  <c r="AF63" i="2"/>
  <c r="AF37" i="2"/>
  <c r="AF99" i="2"/>
  <c r="AF118" i="2"/>
  <c r="AF130" i="2"/>
  <c r="AF159" i="2"/>
  <c r="AF185" i="2"/>
  <c r="U64" i="2"/>
  <c r="U66" i="2"/>
  <c r="AA56" i="2"/>
  <c r="U69" i="2"/>
  <c r="U68" i="2"/>
  <c r="AE87" i="2"/>
  <c r="AF54" i="2"/>
  <c r="U151" i="2"/>
  <c r="AF41" i="2"/>
  <c r="AF28" i="2"/>
  <c r="AE77" i="2"/>
  <c r="AF79" i="2"/>
  <c r="AF148" i="2"/>
  <c r="U106" i="2"/>
  <c r="U163" i="2"/>
  <c r="U175" i="2"/>
  <c r="U67" i="2"/>
  <c r="U150" i="2"/>
  <c r="AM35" i="2"/>
  <c r="AM37" i="2" s="1"/>
  <c r="AA91" i="2"/>
  <c r="U91" i="2" s="1"/>
  <c r="U152" i="2"/>
  <c r="AM22" i="2"/>
  <c r="AM23" i="2" s="1"/>
  <c r="U120" i="2"/>
  <c r="U142" i="2"/>
  <c r="AE152" i="2"/>
  <c r="AE93" i="2"/>
  <c r="AE102" i="2" s="1"/>
  <c r="AE176" i="2"/>
  <c r="AE190" i="2"/>
  <c r="AE192" i="2" s="1"/>
  <c r="AE159" i="2"/>
  <c r="AE160" i="2" s="1"/>
  <c r="AE170" i="2" s="1"/>
  <c r="AE149" i="2"/>
  <c r="AE150" i="2"/>
  <c r="AE115" i="2"/>
  <c r="AE137" i="2" s="1"/>
  <c r="AE61" i="2"/>
  <c r="AE56" i="2"/>
  <c r="U179" i="2"/>
  <c r="U140" i="2"/>
  <c r="U122" i="2"/>
  <c r="U105" i="2"/>
  <c r="U74" i="2"/>
  <c r="U76" i="2"/>
  <c r="U94" i="2"/>
  <c r="U115" i="2"/>
  <c r="AA23" i="2"/>
  <c r="AA26" i="2" s="1"/>
  <c r="U97" i="2"/>
  <c r="U117" i="2"/>
  <c r="U126" i="2"/>
  <c r="U100" i="2"/>
  <c r="U119" i="2"/>
  <c r="U129" i="2"/>
  <c r="AG93" i="2"/>
  <c r="U121" i="2"/>
  <c r="U131" i="2"/>
  <c r="U149" i="2"/>
  <c r="U153" i="2"/>
  <c r="U184" i="2"/>
  <c r="U193" i="2" l="1"/>
  <c r="U199" i="2" s="1"/>
  <c r="W71" i="2"/>
  <c r="Y71" i="2" s="1"/>
  <c r="AE199" i="2"/>
  <c r="AE200" i="2" s="1"/>
  <c r="U200" i="2"/>
  <c r="U201" i="2" s="1"/>
  <c r="AA160" i="2"/>
  <c r="AA170" i="2" s="1"/>
  <c r="U23" i="2"/>
  <c r="AF122" i="2"/>
  <c r="AF68" i="2"/>
  <c r="AF142" i="2"/>
  <c r="AF163" i="2"/>
  <c r="AF66" i="2"/>
  <c r="AF144" i="2"/>
  <c r="AF126" i="2"/>
  <c r="AF120" i="2"/>
  <c r="AF56" i="2"/>
  <c r="AF32" i="2"/>
  <c r="AF64" i="2"/>
  <c r="AF94" i="2"/>
  <c r="AF149" i="2"/>
  <c r="AF36" i="2"/>
  <c r="AF91" i="2"/>
  <c r="AF175" i="2"/>
  <c r="AF97" i="2"/>
  <c r="AF131" i="2"/>
  <c r="AF117" i="2"/>
  <c r="AF153" i="2"/>
  <c r="AF115" i="2"/>
  <c r="AF85" i="2"/>
  <c r="AF24" i="2"/>
  <c r="AF119" i="2"/>
  <c r="AF179" i="2"/>
  <c r="AF129" i="2"/>
  <c r="AF76" i="2"/>
  <c r="AF184" i="2"/>
  <c r="AF121" i="2"/>
  <c r="AF100" i="2"/>
  <c r="AF83" i="2"/>
  <c r="AF140" i="2"/>
  <c r="AF152" i="2"/>
  <c r="U44" i="2"/>
  <c r="AF150" i="2"/>
  <c r="AF67" i="2"/>
  <c r="AF151" i="2"/>
  <c r="AF69" i="2"/>
  <c r="AE62" i="2"/>
  <c r="AE71" i="2" s="1"/>
  <c r="AE155" i="2"/>
  <c r="AA61" i="2"/>
  <c r="AA146" i="2"/>
  <c r="AA155" i="2"/>
  <c r="AA87" i="2"/>
  <c r="AF158" i="2"/>
  <c r="AF74" i="2"/>
  <c r="AA77" i="2"/>
  <c r="U137" i="2"/>
  <c r="AF23" i="2"/>
  <c r="AF20" i="2"/>
  <c r="AF190" i="2"/>
  <c r="U93" i="2"/>
  <c r="U87" i="2" l="1"/>
  <c r="U61" i="2"/>
  <c r="U77" i="2"/>
  <c r="U160" i="2"/>
  <c r="U155" i="2"/>
  <c r="U146" i="2"/>
  <c r="W171" i="2"/>
  <c r="Y171" i="2" s="1"/>
  <c r="U26" i="2"/>
  <c r="AA62" i="2"/>
  <c r="AA71" i="2" s="1"/>
  <c r="AA171" i="2" s="1"/>
  <c r="AF137" i="2"/>
  <c r="AF155" i="2"/>
  <c r="AF44" i="2"/>
  <c r="U45" i="2"/>
  <c r="AF77" i="2"/>
  <c r="AF146" i="2"/>
  <c r="AF87" i="2"/>
  <c r="AF111" i="2"/>
  <c r="AF192" i="2"/>
  <c r="AE171" i="2"/>
  <c r="AF93" i="2"/>
  <c r="AF26" i="2"/>
  <c r="AF160" i="2"/>
  <c r="AF61" i="2"/>
  <c r="AE201" i="2" l="1"/>
  <c r="AE193" i="2"/>
  <c r="U170" i="2"/>
  <c r="U102" i="2"/>
  <c r="U62" i="2"/>
  <c r="W201" i="2"/>
  <c r="Y201" i="2" s="1"/>
  <c r="AF102" i="2"/>
  <c r="AF170" i="2"/>
  <c r="AF45" i="2"/>
  <c r="AA47" i="2"/>
  <c r="AF199" i="2"/>
  <c r="AF62" i="2"/>
  <c r="AA48" i="2" l="1"/>
  <c r="AA205" i="2"/>
  <c r="U47" i="2"/>
  <c r="U205" i="2" s="1"/>
  <c r="U71" i="2"/>
  <c r="W202" i="2"/>
  <c r="Y202" i="2" s="1"/>
  <c r="AF200" i="2"/>
  <c r="AA201" i="2"/>
  <c r="AF47" i="2"/>
  <c r="AF71" i="2"/>
  <c r="U48" i="2" l="1"/>
  <c r="AF48" i="2"/>
  <c r="AF171" i="2"/>
  <c r="U202" i="2" l="1"/>
  <c r="AA202" i="2"/>
  <c r="AF201" i="2"/>
  <c r="W28" i="2"/>
  <c r="Y28" i="2" s="1"/>
  <c r="U2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Scott Reilling</author>
    <author>tc={D77B986F-1AE1-45DF-B42C-851B3565B775}</author>
  </authors>
  <commentList>
    <comment ref="G11" authorId="0" shapeId="0" xr:uid="{00000000-0006-0000-0100-000001000000}">
      <text>
        <r>
          <rPr>
            <b/>
            <sz val="9"/>
            <color indexed="81"/>
            <rFont val="Tahoma"/>
            <family val="2"/>
          </rPr>
          <t>Scott Reilling:</t>
        </r>
        <r>
          <rPr>
            <sz val="9"/>
            <color indexed="81"/>
            <rFont val="Tahoma"/>
            <family val="2"/>
          </rPr>
          <t xml:space="preserve">
Add 4677 to this line
</t>
        </r>
      </text>
    </comment>
    <comment ref="G34" authorId="1" shapeId="0" xr:uid="{D77B986F-1AE1-45DF-B42C-851B3565B775}">
      <text>
        <t>[Threaded comment]
Your version of Excel allows you to read this threaded comment; however, any edits to it will get removed if the file is opened in a newer version of Excel. Learn more: https://go.microsoft.com/fwlink/?linkid=870924
Comment:
    This was paid in 03/2019 and swap meet wasn't able to be held due to covid 19. They're going to start up again in 03/21. Fees won't be due again until 03/22</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Scott Reilling</author>
    <author>tc={87D64B95-5A7F-445A-A671-1D06E6C6AEE7}</author>
  </authors>
  <commentList>
    <comment ref="G11" authorId="0" shapeId="0" xr:uid="{58EA54E2-0414-49D4-8873-4EF869E1846F}">
      <text>
        <r>
          <rPr>
            <b/>
            <sz val="9"/>
            <color indexed="81"/>
            <rFont val="Tahoma"/>
            <family val="2"/>
          </rPr>
          <t>Scott Reilling:</t>
        </r>
        <r>
          <rPr>
            <sz val="9"/>
            <color indexed="81"/>
            <rFont val="Tahoma"/>
            <family val="2"/>
          </rPr>
          <t xml:space="preserve">
Add 4677 to this line
</t>
        </r>
      </text>
    </comment>
    <comment ref="G34" authorId="1" shapeId="0" xr:uid="{87D64B95-5A7F-445A-A671-1D06E6C6AEE7}">
      <text>
        <t>[Threaded comment]
Your version of Excel allows you to read this threaded comment; however, any edits to it will get removed if the file is opened in a newer version of Excel. Learn more: https://go.microsoft.com/fwlink/?linkid=870924
Comment:
    This was paid in 03/2019 and swap meet wasn't able to be held due to covid 19. They're going to start up again in 03/21. Fees won't be due again until 03/22</t>
      </text>
    </comment>
  </commentList>
</comments>
</file>

<file path=xl/sharedStrings.xml><?xml version="1.0" encoding="utf-8"?>
<sst xmlns="http://schemas.openxmlformats.org/spreadsheetml/2006/main" count="590" uniqueCount="247">
  <si>
    <t>FINANCE COMMITTEE REPORTS</t>
  </si>
  <si>
    <t>JULY 2014</t>
  </si>
  <si>
    <t>Actual</t>
  </si>
  <si>
    <t>Budget</t>
  </si>
  <si>
    <t>over/under</t>
  </si>
  <si>
    <t>Actual-YTD</t>
  </si>
  <si>
    <t xml:space="preserve">YTD </t>
  </si>
  <si>
    <t>Available</t>
  </si>
  <si>
    <t>Ordinary Income/Expense</t>
  </si>
  <si>
    <t>Income</t>
  </si>
  <si>
    <t>40-Inc · R o a d   I n c o m e</t>
  </si>
  <si>
    <t>Annual budget in Column U divided by 12 to calulate monthly budget and used as Amount in Column  K</t>
  </si>
  <si>
    <t>4050 · Road Fee Interest</t>
  </si>
  <si>
    <t>To balance P &amp; L to Budget Performance</t>
  </si>
  <si>
    <t>4060 · Lien Fees</t>
  </si>
  <si>
    <t xml:space="preserve">Current Month </t>
  </si>
  <si>
    <t>4064 · Recovered Collection Fees</t>
  </si>
  <si>
    <t>P &amp; L</t>
  </si>
  <si>
    <t>Budget Perform</t>
  </si>
  <si>
    <t>Variance</t>
  </si>
  <si>
    <t>4065 · Recovered Foreclosure Costs</t>
  </si>
  <si>
    <t>Acct 4010</t>
  </si>
  <si>
    <t>4066 · Recovered Legal - Other</t>
  </si>
  <si>
    <t>4070 · Transfer Fees</t>
  </si>
  <si>
    <t>Road Inc</t>
  </si>
  <si>
    <t>Interest</t>
  </si>
  <si>
    <t>4080 · Bank Interest</t>
  </si>
  <si>
    <t>Lien Fees</t>
  </si>
  <si>
    <t>4081 · Bond Money Interest</t>
  </si>
  <si>
    <t>Coll Fees</t>
  </si>
  <si>
    <t>4082 · Bank Interest - Investments</t>
  </si>
  <si>
    <t xml:space="preserve">                             Adjustment amount to balance with P &amp; L</t>
  </si>
  <si>
    <t>P &amp; L Road Income</t>
  </si>
  <si>
    <t>Total 4080 · Bank Interest</t>
  </si>
  <si>
    <t>Adj Road Inc</t>
  </si>
  <si>
    <t>4091 · Other Income</t>
  </si>
  <si>
    <t>Total 40-Inc · R o a d   I n c o m e</t>
  </si>
  <si>
    <t>Year to Date</t>
  </si>
  <si>
    <t>45-Inc · N o n - R o a d   I n c o m e</t>
  </si>
  <si>
    <t>4520 · Main Room Term Rental</t>
  </si>
  <si>
    <t>4530 · Library Rental</t>
  </si>
  <si>
    <t>4540 · Kitchen &amp; Main Rm. Event Rental</t>
  </si>
  <si>
    <t>Disc</t>
  </si>
  <si>
    <t>4550 · Main Room Event Rental</t>
  </si>
  <si>
    <t>4560 · Field Rental</t>
  </si>
  <si>
    <t>4610 · Malamalama School Lease</t>
  </si>
  <si>
    <t>4620 · Swap Meet / Vending Income</t>
  </si>
  <si>
    <t>4630 · Bank Account Interest</t>
  </si>
  <si>
    <t>4640 · Associate Membership Dues</t>
  </si>
  <si>
    <t>4650 · Annual General Fund Payment</t>
  </si>
  <si>
    <t>4660 · Miscellaneous Non-Roads Income -Other</t>
  </si>
  <si>
    <t>4662 · Thanksgiving Day Dinner</t>
  </si>
  <si>
    <t>Total 4660 · Miscellaneous Non-Roads Income</t>
  </si>
  <si>
    <t>Total 45-Inc · N o n - R o a d   I n c o m e</t>
  </si>
  <si>
    <t>Total Income</t>
  </si>
  <si>
    <t>Gross Profit</t>
  </si>
  <si>
    <t>50-Exp · R o a d   E x p e n s e</t>
  </si>
  <si>
    <t>5001 · ROAD MAINTENANCE</t>
  </si>
  <si>
    <t>5005 · Materials</t>
  </si>
  <si>
    <t>5010 · Road Materials</t>
  </si>
  <si>
    <t>5011 · Rock</t>
  </si>
  <si>
    <t>5012 · Water</t>
  </si>
  <si>
    <t>Total 5010 · Road Materials</t>
  </si>
  <si>
    <t>5015 · Roads Materials Hauling</t>
  </si>
  <si>
    <t>5016 - Rock</t>
  </si>
  <si>
    <t>Total 5015 · Roads Materials Hauling</t>
  </si>
  <si>
    <t>Total 5005 · Materials</t>
  </si>
  <si>
    <t>5018 · Asphalt Maintenance</t>
  </si>
  <si>
    <t>5019 · Cold Patch Road Maintenance</t>
  </si>
  <si>
    <t>5025 · Dust Control Maintenance</t>
  </si>
  <si>
    <t>5030 · Signage</t>
  </si>
  <si>
    <t>5040 · Road Striping / Marking</t>
  </si>
  <si>
    <t>5045 . Speed Hump Maintenance</t>
  </si>
  <si>
    <t>Total 5001 · ROAD MAINTENANCE</t>
  </si>
  <si>
    <t>5100 · ROAD IMPROVEMENTS THROUGH BOND</t>
  </si>
  <si>
    <t>5140 · Investment Fees</t>
  </si>
  <si>
    <t>5150 · Professional Fees and Expenses</t>
  </si>
  <si>
    <t>Total 5100 · ROAD IMPROVEMENTS THROUGH BOND</t>
  </si>
  <si>
    <t>5201 · SHOULDER MAINTENANCE</t>
  </si>
  <si>
    <t>5205 · Easement Maintenance</t>
  </si>
  <si>
    <t>5206 · Tree Removal</t>
  </si>
  <si>
    <t>5210 · Vegetation Control</t>
  </si>
  <si>
    <t>5220 · Drainage Control</t>
  </si>
  <si>
    <t>5230 · Abandoned Vehicle Removal</t>
  </si>
  <si>
    <t>5240 · Tipping / Rubbish Hauling Fees</t>
  </si>
  <si>
    <t>Total 5201 · SHOULDER MAINTENANCE</t>
  </si>
  <si>
    <t>5301 · EQUIPMENT AND VEHICLES</t>
  </si>
  <si>
    <t>5322 · Maintenance</t>
  </si>
  <si>
    <t>5325 · Repairs</t>
  </si>
  <si>
    <t>5320 · Maintenance and Repairs</t>
  </si>
  <si>
    <t>5340 · Equipment Rental</t>
  </si>
  <si>
    <t>5350 · Fuel</t>
  </si>
  <si>
    <t>5360 · Mileage Reimbursement</t>
  </si>
  <si>
    <t>5370 · Vehicle Registration/Inspection</t>
  </si>
  <si>
    <t>5380 · Equipment Insurance</t>
  </si>
  <si>
    <t>Total 5301 · EQUIPMENT AND VEHICLES</t>
  </si>
  <si>
    <t>5401 · SHOP</t>
  </si>
  <si>
    <t>5410 · Tools &amp; Small Equipment</t>
  </si>
  <si>
    <t>5420 · Shop Supplies</t>
  </si>
  <si>
    <t>5430 · Shop Furniture &amp; Office Equip.</t>
  </si>
  <si>
    <t>Total 5401 · SHOP</t>
  </si>
  <si>
    <t>5501 · OFFICE</t>
  </si>
  <si>
    <t>5510 · Conch Production</t>
  </si>
  <si>
    <t>5515 · Printing</t>
  </si>
  <si>
    <t>5520 · Postage</t>
  </si>
  <si>
    <t>5525 · Office Equipment Rental</t>
  </si>
  <si>
    <t>5530 · Furniture &amp; Small Equipment</t>
  </si>
  <si>
    <t>5535 · Office Supplies</t>
  </si>
  <si>
    <t>5540 · Contract Services</t>
  </si>
  <si>
    <t>5545 · Bank Charges &amp; Fees</t>
  </si>
  <si>
    <t>5550 · Annual Fees and Registrations</t>
  </si>
  <si>
    <t>5554 · Collections Expense</t>
  </si>
  <si>
    <t>5555 · Liens</t>
  </si>
  <si>
    <t>5556 · Foreclosures</t>
  </si>
  <si>
    <t>5560 · Directors &amp; Officers Liability</t>
  </si>
  <si>
    <t>5565 · Fidelity Bond</t>
  </si>
  <si>
    <t>5570 · Meeting Expenses</t>
  </si>
  <si>
    <t>5575 · Merchant Service Fees</t>
  </si>
  <si>
    <t>Total 5501 · OFFICE</t>
  </si>
  <si>
    <t>5601 · PROPERTY</t>
  </si>
  <si>
    <t>5630 · General Liability Insurance</t>
  </si>
  <si>
    <t>5635 · Umbrella Policy</t>
  </si>
  <si>
    <t>5640 · Property Insurance</t>
  </si>
  <si>
    <t>5650 · Office Repairs</t>
  </si>
  <si>
    <t>5660 · Shop Repairs</t>
  </si>
  <si>
    <t>Total 5601 · PROPERTY</t>
  </si>
  <si>
    <t>5701 · PROFESSIONAL FEES</t>
  </si>
  <si>
    <t>5710 · Audit &amp; Accounting</t>
  </si>
  <si>
    <t>5720 · Recording Secretary</t>
  </si>
  <si>
    <t>5730 · Legal</t>
  </si>
  <si>
    <t>5735 · Document Server</t>
  </si>
  <si>
    <t>5740 · Elections</t>
  </si>
  <si>
    <t>5750 · Technical</t>
  </si>
  <si>
    <t>5760 · Website</t>
  </si>
  <si>
    <t>Total 5701 · PROFESSIONAL FEES</t>
  </si>
  <si>
    <t>5801 · PERSONNEL</t>
  </si>
  <si>
    <t>5810 · Salaries &amp; Wages</t>
  </si>
  <si>
    <t>5811 · Salaries &amp; Wages</t>
  </si>
  <si>
    <t>Total 5810 · Salaries &amp; Wages</t>
  </si>
  <si>
    <t>5830 · Employee Benefits</t>
  </si>
  <si>
    <t>5840 · Temporary Disability Insurance</t>
  </si>
  <si>
    <t>5850 · Workers Compensation Insurance</t>
  </si>
  <si>
    <t>5860 · Temporary Hires</t>
  </si>
  <si>
    <t>5865 · Training</t>
  </si>
  <si>
    <t>5880 · Payroll Service</t>
  </si>
  <si>
    <t>5885 . Employee Retention/Hiring Ads</t>
  </si>
  <si>
    <t>5889 . Employee Drug Screening</t>
  </si>
  <si>
    <t>Total 5801 · PERSONNEL</t>
  </si>
  <si>
    <t>Total 50-Exp · R o a d   E x p e n s e</t>
  </si>
  <si>
    <t>60-Exp · N o n - R o a d   E x p e n s e</t>
  </si>
  <si>
    <t>6101 · ACTIVITY CENTER</t>
  </si>
  <si>
    <t>6110 · Activity Center Electricity</t>
  </si>
  <si>
    <t>6115 · Activity Center Water</t>
  </si>
  <si>
    <t>6120 · Activity Center Propane</t>
  </si>
  <si>
    <t>6130 · Activity Center Janitorial</t>
  </si>
  <si>
    <t>6140 · Activity Center Supplies</t>
  </si>
  <si>
    <t>6150 · Activity Center Maint &amp; Repairs</t>
  </si>
  <si>
    <t>6160 · Activity Center Grounds</t>
  </si>
  <si>
    <t>6170 · AC Fixtures, Furniture, Equip.</t>
  </si>
  <si>
    <t>6185 · Thanksgiving Day Dinner Expense</t>
  </si>
  <si>
    <t>6200 · Property Tax</t>
  </si>
  <si>
    <t>6300 · Property Insurance, Non-Roads</t>
  </si>
  <si>
    <t>6400 . Professional Fees, Non Roads</t>
  </si>
  <si>
    <t>6810 · Non-Roads Wages</t>
  </si>
  <si>
    <t>6820 · Salaries &amp; Wages</t>
  </si>
  <si>
    <t>Total 6810 · Non-Roads Wages</t>
  </si>
  <si>
    <t>Total 6101 · ACTIVITY CENTER</t>
  </si>
  <si>
    <t>Total 60-Exp · N o n - R o a d   E x p e n s e</t>
  </si>
  <si>
    <t>Total Expense</t>
  </si>
  <si>
    <t>Net Ordinary Income</t>
  </si>
  <si>
    <t>5130 · Debt Service - Interest</t>
  </si>
  <si>
    <t>5450 - Shop Utilities</t>
  </si>
  <si>
    <t>5591 · Office Telephone &amp; Fax</t>
  </si>
  <si>
    <t>5592 · Office Electric</t>
  </si>
  <si>
    <t>Cross</t>
  </si>
  <si>
    <t>Checking</t>
  </si>
  <si>
    <t>5251 · Green Waste Hauling</t>
  </si>
  <si>
    <t>5017- Water</t>
  </si>
  <si>
    <t xml:space="preserve"> </t>
  </si>
  <si>
    <t>5020 - Contract Work</t>
  </si>
  <si>
    <t>5354 - Hydraulic Oil &amp; Grease</t>
  </si>
  <si>
    <t>4010 - Deferred Road Fees</t>
  </si>
  <si>
    <t>Statement Regarding Unaudited Financial Information</t>
  </si>
  <si>
    <t>4667 - Inspection Fee/Contract Income</t>
  </si>
  <si>
    <t>5580 · Office Janitorial</t>
  </si>
  <si>
    <t>5875 - Employee Relations</t>
  </si>
  <si>
    <t>%</t>
  </si>
  <si>
    <t>5435 - Maintenance Shop Restroom</t>
  </si>
  <si>
    <t>5440 - Miscelleneous Shop Expense</t>
  </si>
  <si>
    <t>4043 - Student Road Fee-Lease Agreement</t>
  </si>
  <si>
    <t>YTD Budget</t>
  </si>
  <si>
    <t>5310 · Purchase (CIP BUDGET ITEM)</t>
  </si>
  <si>
    <t>SEE CIP BUDGET</t>
  </si>
  <si>
    <t>5451 - Shop Janitorial</t>
  </si>
  <si>
    <t xml:space="preserve">Bond Ratio </t>
  </si>
  <si>
    <t>4051 · Returned Check Fees</t>
  </si>
  <si>
    <t>5207 · Green Waste Hauling</t>
  </si>
  <si>
    <t>Total Road Income / Gross Revenues</t>
  </si>
  <si>
    <t>Debt Service Requirement</t>
  </si>
  <si>
    <t>5341 · Equipment Hauling</t>
  </si>
  <si>
    <t>5590 · Office Utilities</t>
  </si>
  <si>
    <t>Total 5590 - Office Utilities</t>
  </si>
  <si>
    <t>5665 · Ann General Fund Compensation</t>
  </si>
  <si>
    <t>6810 - Non-Roads Wages</t>
  </si>
  <si>
    <t>Debt Service Principal</t>
  </si>
  <si>
    <t>Debt Service Interest</t>
  </si>
  <si>
    <t>Total Debt Service</t>
  </si>
  <si>
    <t>5820 · Payroll Taxes &amp; Unemployment</t>
  </si>
  <si>
    <t>YR/12</t>
  </si>
  <si>
    <t xml:space="preserve">YTD Budget </t>
  </si>
  <si>
    <t>BUDGET</t>
  </si>
  <si>
    <t>5001 - Road Maintenance Other</t>
  </si>
  <si>
    <t>5562 · Board Expenses</t>
  </si>
  <si>
    <t>YTD Fy Month- To change Fy Month Budget in Column K key in YTD Fy Month number in Cell Z3</t>
  </si>
  <si>
    <t>4650 - Annual General Fund Payment</t>
  </si>
  <si>
    <t>Realized Gain/Loss of investment</t>
  </si>
  <si>
    <t>6101 - Activity Center - Other</t>
  </si>
  <si>
    <t xml:space="preserve">                                                                                                                                                                                                                                                                                                                                                                                                                      </t>
  </si>
  <si>
    <t>4005 - Spectrum Oceanic Payment</t>
  </si>
  <si>
    <t>5345 - Case Grader Interest</t>
  </si>
  <si>
    <t>5552 - Bad Debt</t>
  </si>
  <si>
    <t>6830 · Payroll Taxes - HPPOA/EMPLOYEE</t>
  </si>
  <si>
    <t>4655 AT&amp;T land license agreement</t>
  </si>
  <si>
    <t>4652 - Renegade Tower</t>
  </si>
  <si>
    <t>2022-2023</t>
  </si>
  <si>
    <t>JULY '22</t>
  </si>
  <si>
    <t>AUG '22</t>
  </si>
  <si>
    <t>SEPT '22</t>
  </si>
  <si>
    <t>OCT '22</t>
  </si>
  <si>
    <t>NOV '22</t>
  </si>
  <si>
    <t>DEC '22</t>
  </si>
  <si>
    <t>JAN '23</t>
  </si>
  <si>
    <t>FEB '23</t>
  </si>
  <si>
    <t>MAR '23</t>
  </si>
  <si>
    <t>APR '23</t>
  </si>
  <si>
    <t>MAY '23</t>
  </si>
  <si>
    <t>JUNE '23</t>
  </si>
  <si>
    <t>Jul 22- Jun 23</t>
  </si>
  <si>
    <t xml:space="preserve">The unaudited financial information set forth above is preliminary and subject to adjustments and modifications. The audited financial statements and related notes are to be included in our annual report for the year ending June 30, 2023. Adjustments and modifications to the financial statements may be identified during the course of the audit work, which could result in significant differences from this preliminary unaudited financial information.  Adjustments can be made monthly to identify changes per management.  At the time this report was prepared, all bank statements may or may not have been received prior to the reconciliation.  </t>
  </si>
  <si>
    <r>
      <t xml:space="preserve">PROFIT and LOSS BUDGET PERFORMANCE - FYE 2022-2023 - </t>
    </r>
    <r>
      <rPr>
        <b/>
        <sz val="12"/>
        <color rgb="FFFF0000"/>
        <rFont val="Arial"/>
        <family val="2"/>
      </rPr>
      <t>ACCRUAL BASIS WORKING BUDGET DOCUMENT</t>
    </r>
  </si>
  <si>
    <t>5680 · Depreciation</t>
  </si>
  <si>
    <t>5110 · Paving Project Expense</t>
  </si>
  <si>
    <t>6600 MAILBOX EXPENSES</t>
  </si>
  <si>
    <t>Total 6600 · Mailbox Expenses</t>
  </si>
  <si>
    <t>6610 - Mailboxes - Equipment Rental</t>
  </si>
  <si>
    <t>Total  · ACTIVITY CENTER &amp; MAILBOXES</t>
  </si>
  <si>
    <t>4111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</si>
</sst>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43" formatCode="_(* #,##0.00_);_(* \(#,##0.00\);_(* &quot;-&quot;??_);_(@_)"/>
    <numFmt numFmtId="164" formatCode="&quot;$&quot;#,##0"/>
    <numFmt numFmtId="165" formatCode="_(* #,##0_);_(* \(#,##0\);_(*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sz val="9"/>
      <color theme="1"/>
      <name val="Calibri"/>
      <family val="2"/>
      <scheme val="minor"/>
    </font>
    <font>
      <b/>
      <sz val="8"/>
      <color rgb="FF000000"/>
      <name val="Arial"/>
      <family val="2"/>
    </font>
    <font>
      <sz val="8"/>
      <color rgb="FF000000"/>
      <name val="Arial"/>
      <family val="2"/>
    </font>
    <font>
      <b/>
      <sz val="12"/>
      <color rgb="FF000000"/>
      <name val="Arial"/>
      <family val="2"/>
    </font>
    <font>
      <sz val="12"/>
      <color theme="1"/>
      <name val="Calibri"/>
      <family val="2"/>
      <scheme val="minor"/>
    </font>
    <font>
      <b/>
      <sz val="12"/>
      <color theme="1"/>
      <name val="Calibri"/>
      <family val="2"/>
      <scheme val="minor"/>
    </font>
    <font>
      <sz val="12"/>
      <color rgb="FF000000"/>
      <name val="Arial"/>
      <family val="2"/>
    </font>
    <font>
      <b/>
      <sz val="12"/>
      <color rgb="FFFF0000"/>
      <name val="Arial"/>
      <family val="2"/>
    </font>
    <font>
      <b/>
      <sz val="12"/>
      <color theme="1"/>
      <name val="Arial"/>
      <family val="2"/>
    </font>
    <font>
      <sz val="12"/>
      <color theme="1"/>
      <name val="Arial"/>
      <family val="2"/>
    </font>
    <font>
      <b/>
      <sz val="11"/>
      <color rgb="FF000000"/>
      <name val="Arial"/>
      <family val="2"/>
    </font>
    <font>
      <sz val="10"/>
      <color theme="1"/>
      <name val="Calibri"/>
      <family val="2"/>
      <scheme val="minor"/>
    </font>
    <font>
      <b/>
      <sz val="10"/>
      <color rgb="FF000000"/>
      <name val="Times New Roman"/>
      <family val="1"/>
    </font>
    <font>
      <sz val="12"/>
      <color rgb="FF000000"/>
      <name val="Times New Roman"/>
      <family val="1"/>
    </font>
    <font>
      <sz val="9"/>
      <color rgb="FF000000"/>
      <name val="Arial"/>
      <family val="2"/>
    </font>
    <font>
      <sz val="9"/>
      <color indexed="81"/>
      <name val="Tahoma"/>
      <family val="2"/>
    </font>
    <font>
      <b/>
      <sz val="9"/>
      <color indexed="81"/>
      <name val="Tahoma"/>
      <family val="2"/>
    </font>
    <font>
      <sz val="11"/>
      <color theme="1"/>
      <name val="Arial"/>
      <family val="2"/>
    </font>
    <font>
      <sz val="8"/>
      <name val="Calibri"/>
      <family val="2"/>
      <scheme val="minor"/>
    </font>
    <font>
      <sz val="11"/>
      <color rgb="FFFF0000"/>
      <name val="Calibri"/>
      <family val="2"/>
      <scheme val="minor"/>
    </font>
  </fonts>
  <fills count="11">
    <fill>
      <patternFill patternType="none"/>
    </fill>
    <fill>
      <patternFill patternType="gray125"/>
    </fill>
    <fill>
      <patternFill patternType="solid">
        <fgColor rgb="FFFFFFCC"/>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FFFF00"/>
        <bgColor indexed="64"/>
      </patternFill>
    </fill>
  </fills>
  <borders count="39">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medium">
        <color indexed="64"/>
      </bottom>
      <diagonal/>
    </border>
    <border>
      <left/>
      <right/>
      <top style="medium">
        <color indexed="64"/>
      </top>
      <bottom style="double">
        <color indexed="64"/>
      </bottom>
      <diagonal/>
    </border>
    <border>
      <left/>
      <right/>
      <top/>
      <bottom style="double">
        <color indexed="64"/>
      </bottom>
      <diagonal/>
    </border>
    <border>
      <left/>
      <right/>
      <top style="thin">
        <color indexed="64"/>
      </top>
      <bottom/>
      <diagonal/>
    </border>
    <border>
      <left/>
      <right/>
      <top style="thin">
        <color auto="1"/>
      </top>
      <bottom style="thin">
        <color auto="1"/>
      </bottom>
      <diagonal/>
    </border>
    <border>
      <left/>
      <right/>
      <top style="thick">
        <color auto="1"/>
      </top>
      <bottom style="thick">
        <color auto="1"/>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auto="1"/>
      </top>
      <bottom style="thin">
        <color auto="1"/>
      </bottom>
      <diagonal/>
    </border>
    <border>
      <left/>
      <right style="thin">
        <color indexed="64"/>
      </right>
      <top style="medium">
        <color indexed="64"/>
      </top>
      <bottom style="medium">
        <color indexed="64"/>
      </bottom>
      <diagonal/>
    </border>
    <border>
      <left/>
      <right style="thin">
        <color indexed="64"/>
      </right>
      <top/>
      <bottom style="double">
        <color indexed="64"/>
      </bottom>
      <diagonal/>
    </border>
    <border>
      <left/>
      <right style="thin">
        <color indexed="64"/>
      </right>
      <top style="thin">
        <color indexed="64"/>
      </top>
      <bottom style="medium">
        <color indexed="64"/>
      </bottom>
      <diagonal/>
    </border>
    <border>
      <left/>
      <right style="thin">
        <color indexed="64"/>
      </right>
      <top style="thick">
        <color auto="1"/>
      </top>
      <bottom style="thick">
        <color auto="1"/>
      </bottom>
      <diagonal/>
    </border>
    <border>
      <left/>
      <right style="thin">
        <color indexed="64"/>
      </right>
      <top style="thin">
        <color indexed="64"/>
      </top>
      <bottom/>
      <diagonal/>
    </border>
    <border>
      <left style="thin">
        <color indexed="64"/>
      </left>
      <right/>
      <top style="medium">
        <color indexed="64"/>
      </top>
      <bottom style="double">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auto="1"/>
      </top>
      <bottom style="thin">
        <color auto="1"/>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bottom style="double">
        <color indexed="64"/>
      </bottom>
      <diagonal/>
    </border>
    <border>
      <left style="thin">
        <color indexed="64"/>
      </left>
      <right/>
      <top style="thick">
        <color auto="1"/>
      </top>
      <bottom style="thick">
        <color auto="1"/>
      </bottom>
      <diagonal/>
    </border>
    <border>
      <left style="thin">
        <color indexed="64"/>
      </left>
      <right/>
      <top style="thin">
        <color indexed="64"/>
      </top>
      <bottom/>
      <diagonal/>
    </border>
    <border>
      <left style="thin">
        <color indexed="64"/>
      </left>
      <right/>
      <top style="medium">
        <color indexed="64"/>
      </top>
      <bottom style="thick">
        <color auto="1"/>
      </bottom>
      <diagonal/>
    </border>
    <border>
      <left/>
      <right/>
      <top style="medium">
        <color indexed="64"/>
      </top>
      <bottom style="thick">
        <color auto="1"/>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auto="1"/>
      </top>
      <bottom style="thin">
        <color auto="1"/>
      </bottom>
      <diagonal/>
    </border>
    <border>
      <left style="medium">
        <color indexed="64"/>
      </left>
      <right/>
      <top style="medium">
        <color indexed="64"/>
      </top>
      <bottom style="medium">
        <color indexed="64"/>
      </bottom>
      <diagonal/>
    </border>
    <border>
      <left style="medium">
        <color indexed="64"/>
      </left>
      <right/>
      <top/>
      <bottom style="double">
        <color indexed="64"/>
      </bottom>
      <diagonal/>
    </border>
    <border>
      <left style="medium">
        <color indexed="64"/>
      </left>
      <right/>
      <top style="thick">
        <color auto="1"/>
      </top>
      <bottom style="thick">
        <color auto="1"/>
      </bottom>
      <diagonal/>
    </border>
    <border>
      <left style="medium">
        <color indexed="64"/>
      </left>
      <right/>
      <top style="medium">
        <color indexed="64"/>
      </top>
      <bottom style="double">
        <color indexed="64"/>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2" borderId="1" applyNumberFormat="0" applyFont="0" applyAlignment="0" applyProtection="0"/>
  </cellStyleXfs>
  <cellXfs count="284">
    <xf numFmtId="0" fontId="0" fillId="0" borderId="0" xfId="0"/>
    <xf numFmtId="0" fontId="0" fillId="0" borderId="0" xfId="0" applyAlignment="1">
      <alignment horizontal="center"/>
    </xf>
    <xf numFmtId="0" fontId="3" fillId="0" borderId="0" xfId="0" applyFont="1" applyAlignment="1">
      <alignment horizontal="center"/>
    </xf>
    <xf numFmtId="0" fontId="3" fillId="0" borderId="0" xfId="0" applyFont="1"/>
    <xf numFmtId="0" fontId="4" fillId="0" borderId="0" xfId="0" applyFont="1"/>
    <xf numFmtId="17" fontId="3" fillId="0" borderId="0" xfId="0" quotePrefix="1" applyNumberFormat="1" applyFont="1" applyAlignment="1">
      <alignment horizontal="center"/>
    </xf>
    <xf numFmtId="0" fontId="0" fillId="0" borderId="2" xfId="0" applyBorder="1"/>
    <xf numFmtId="0" fontId="0" fillId="2" borderId="1" xfId="4" applyFont="1"/>
    <xf numFmtId="0" fontId="0" fillId="2" borderId="1" xfId="4" applyFont="1" applyAlignment="1">
      <alignment horizontal="center"/>
    </xf>
    <xf numFmtId="164" fontId="6" fillId="0" borderId="0" xfId="0" applyNumberFormat="1" applyFont="1"/>
    <xf numFmtId="42" fontId="0" fillId="0" borderId="0" xfId="2" applyNumberFormat="1" applyFont="1"/>
    <xf numFmtId="0" fontId="2" fillId="2" borderId="1" xfId="4" applyFont="1"/>
    <xf numFmtId="42" fontId="2" fillId="2" borderId="1" xfId="4" applyNumberFormat="1" applyFont="1"/>
    <xf numFmtId="164" fontId="5" fillId="2" borderId="1" xfId="4" applyNumberFormat="1" applyFont="1"/>
    <xf numFmtId="44" fontId="0" fillId="0" borderId="0" xfId="2" applyFont="1"/>
    <xf numFmtId="44" fontId="0" fillId="0" borderId="2" xfId="2" applyFont="1" applyBorder="1"/>
    <xf numFmtId="44" fontId="0" fillId="2" borderId="1" xfId="4" applyNumberFormat="1" applyFont="1"/>
    <xf numFmtId="44" fontId="0" fillId="0" borderId="0" xfId="0" applyNumberFormat="1"/>
    <xf numFmtId="0" fontId="5" fillId="0" borderId="0" xfId="0" applyFont="1"/>
    <xf numFmtId="164" fontId="0" fillId="0" borderId="0" xfId="0" applyNumberFormat="1"/>
    <xf numFmtId="9" fontId="0" fillId="0" borderId="0" xfId="3" applyFont="1"/>
    <xf numFmtId="0" fontId="4" fillId="3" borderId="0" xfId="0" applyFont="1" applyFill="1"/>
    <xf numFmtId="0" fontId="7" fillId="0" borderId="0" xfId="0" applyFont="1"/>
    <xf numFmtId="164" fontId="8" fillId="0" borderId="0" xfId="0" applyNumberFormat="1" applyFont="1"/>
    <xf numFmtId="9" fontId="8" fillId="0" borderId="0" xfId="3" applyFont="1"/>
    <xf numFmtId="0" fontId="8" fillId="0" borderId="0" xfId="0" applyFont="1"/>
    <xf numFmtId="0" fontId="8" fillId="3" borderId="0" xfId="0" applyFont="1" applyFill="1"/>
    <xf numFmtId="49" fontId="7" fillId="0" borderId="2" xfId="0" applyNumberFormat="1" applyFont="1" applyBorder="1"/>
    <xf numFmtId="164" fontId="8" fillId="0" borderId="2" xfId="0" applyNumberFormat="1" applyFont="1" applyBorder="1" applyAlignment="1">
      <alignment horizontal="centerContinuous"/>
    </xf>
    <xf numFmtId="9" fontId="8" fillId="0" borderId="2" xfId="3" applyFont="1" applyBorder="1" applyAlignment="1">
      <alignment horizontal="centerContinuous"/>
    </xf>
    <xf numFmtId="0" fontId="8" fillId="0" borderId="2" xfId="0" applyFont="1" applyBorder="1"/>
    <xf numFmtId="17" fontId="8" fillId="0" borderId="0" xfId="0" applyNumberFormat="1" applyFont="1"/>
    <xf numFmtId="49" fontId="7" fillId="0" borderId="0" xfId="0" applyNumberFormat="1" applyFont="1"/>
    <xf numFmtId="164" fontId="7" fillId="0" borderId="0" xfId="0" applyNumberFormat="1" applyFont="1" applyAlignment="1">
      <alignment horizontal="center"/>
    </xf>
    <xf numFmtId="164" fontId="8" fillId="0" borderId="0" xfId="0" applyNumberFormat="1" applyFont="1" applyAlignment="1">
      <alignment horizontal="center"/>
    </xf>
    <xf numFmtId="9" fontId="7" fillId="0" borderId="0" xfId="3" applyFont="1" applyAlignment="1">
      <alignment horizontal="center"/>
    </xf>
    <xf numFmtId="0" fontId="8" fillId="0" borderId="0" xfId="0" applyFont="1" applyAlignment="1">
      <alignment horizontal="center"/>
    </xf>
    <xf numFmtId="0" fontId="8" fillId="3" borderId="0" xfId="0" applyFont="1" applyFill="1" applyAlignment="1">
      <alignment horizontal="center"/>
    </xf>
    <xf numFmtId="49" fontId="7" fillId="0" borderId="2" xfId="0" applyNumberFormat="1" applyFont="1" applyBorder="1" applyAlignment="1">
      <alignment horizontal="center"/>
    </xf>
    <xf numFmtId="3" fontId="7" fillId="0" borderId="2" xfId="0" quotePrefix="1" applyNumberFormat="1" applyFont="1" applyBorder="1" applyAlignment="1">
      <alignment horizontal="center"/>
    </xf>
    <xf numFmtId="164" fontId="8" fillId="0" borderId="2" xfId="0" applyNumberFormat="1" applyFont="1" applyBorder="1" applyAlignment="1">
      <alignment horizontal="center"/>
    </xf>
    <xf numFmtId="164" fontId="7" fillId="0" borderId="2" xfId="0" applyNumberFormat="1" applyFont="1" applyBorder="1" applyAlignment="1">
      <alignment horizontal="center"/>
    </xf>
    <xf numFmtId="9" fontId="7" fillId="0" borderId="2" xfId="3" applyFont="1" applyBorder="1" applyAlignment="1">
      <alignment horizontal="center"/>
    </xf>
    <xf numFmtId="0" fontId="8" fillId="0" borderId="2" xfId="0" applyFont="1" applyBorder="1" applyAlignment="1">
      <alignment horizontal="center"/>
    </xf>
    <xf numFmtId="17" fontId="8" fillId="0" borderId="0" xfId="0" applyNumberFormat="1" applyFont="1" applyAlignment="1">
      <alignment horizontal="right"/>
    </xf>
    <xf numFmtId="164" fontId="10" fillId="0" borderId="0" xfId="0" applyNumberFormat="1" applyFont="1"/>
    <xf numFmtId="0" fontId="8" fillId="2" borderId="1" xfId="4" applyFont="1"/>
    <xf numFmtId="17" fontId="8" fillId="2" borderId="1" xfId="4" applyNumberFormat="1" applyFont="1" applyAlignment="1">
      <alignment horizontal="right"/>
    </xf>
    <xf numFmtId="43" fontId="10" fillId="0" borderId="0" xfId="0" applyNumberFormat="1" applyFont="1"/>
    <xf numFmtId="43" fontId="8" fillId="3" borderId="0" xfId="0" applyNumberFormat="1" applyFont="1" applyFill="1"/>
    <xf numFmtId="42" fontId="8" fillId="0" borderId="0" xfId="2" applyNumberFormat="1" applyFont="1"/>
    <xf numFmtId="43" fontId="10" fillId="0" borderId="2" xfId="0" applyNumberFormat="1" applyFont="1" applyBorder="1"/>
    <xf numFmtId="42" fontId="8" fillId="0" borderId="2" xfId="2" applyNumberFormat="1" applyFont="1" applyBorder="1"/>
    <xf numFmtId="43" fontId="10" fillId="0" borderId="3" xfId="0" applyNumberFormat="1" applyFont="1" applyBorder="1"/>
    <xf numFmtId="42" fontId="10" fillId="0" borderId="3" xfId="2" applyNumberFormat="1" applyFont="1" applyBorder="1"/>
    <xf numFmtId="164" fontId="10" fillId="0" borderId="4" xfId="0" applyNumberFormat="1" applyFont="1" applyBorder="1"/>
    <xf numFmtId="164" fontId="10" fillId="0" borderId="3" xfId="0" applyNumberFormat="1" applyFont="1" applyBorder="1"/>
    <xf numFmtId="49" fontId="7" fillId="0" borderId="7" xfId="0" applyNumberFormat="1" applyFont="1" applyBorder="1"/>
    <xf numFmtId="43" fontId="10" fillId="0" borderId="7" xfId="0" applyNumberFormat="1" applyFont="1" applyBorder="1"/>
    <xf numFmtId="43" fontId="10" fillId="0" borderId="6" xfId="0" applyNumberFormat="1" applyFont="1" applyBorder="1"/>
    <xf numFmtId="43" fontId="8" fillId="3" borderId="2" xfId="0" applyNumberFormat="1" applyFont="1" applyFill="1" applyBorder="1"/>
    <xf numFmtId="43" fontId="10" fillId="0" borderId="4" xfId="0" applyNumberFormat="1" applyFont="1" applyBorder="1"/>
    <xf numFmtId="43" fontId="7" fillId="0" borderId="0" xfId="0" applyNumberFormat="1" applyFont="1"/>
    <xf numFmtId="42" fontId="7" fillId="0" borderId="0" xfId="2" applyNumberFormat="1" applyFont="1"/>
    <xf numFmtId="164" fontId="7" fillId="0" borderId="0" xfId="0" applyNumberFormat="1" applyFont="1"/>
    <xf numFmtId="0" fontId="9" fillId="3" borderId="0" xfId="0" applyFont="1" applyFill="1"/>
    <xf numFmtId="164" fontId="12" fillId="0" borderId="0" xfId="1" applyNumberFormat="1" applyFont="1"/>
    <xf numFmtId="164" fontId="0" fillId="0" borderId="2" xfId="0" applyNumberFormat="1" applyBorder="1" applyAlignment="1">
      <alignment horizontal="centerContinuous"/>
    </xf>
    <xf numFmtId="164" fontId="14" fillId="0" borderId="0" xfId="0" applyNumberFormat="1" applyFont="1" applyAlignment="1">
      <alignment horizontal="center"/>
    </xf>
    <xf numFmtId="164" fontId="14" fillId="0" borderId="2" xfId="0" applyNumberFormat="1" applyFont="1" applyBorder="1" applyAlignment="1">
      <alignment horizontal="center"/>
    </xf>
    <xf numFmtId="164" fontId="15" fillId="0" borderId="0" xfId="0" applyNumberFormat="1" applyFont="1"/>
    <xf numFmtId="0" fontId="13" fillId="0" borderId="0" xfId="0" applyFont="1"/>
    <xf numFmtId="43" fontId="13" fillId="0" borderId="0" xfId="0" applyNumberFormat="1" applyFont="1"/>
    <xf numFmtId="164" fontId="13" fillId="0" borderId="0" xfId="0" applyNumberFormat="1" applyFont="1"/>
    <xf numFmtId="9" fontId="13" fillId="0" borderId="0" xfId="3" applyFont="1"/>
    <xf numFmtId="3" fontId="12" fillId="0" borderId="0" xfId="1" applyNumberFormat="1" applyFont="1"/>
    <xf numFmtId="164" fontId="12" fillId="0" borderId="0" xfId="0" applyNumberFormat="1" applyFont="1"/>
    <xf numFmtId="164" fontId="13" fillId="0" borderId="0" xfId="1" applyNumberFormat="1" applyFont="1"/>
    <xf numFmtId="9" fontId="12" fillId="0" borderId="0" xfId="3" applyFont="1"/>
    <xf numFmtId="0" fontId="16" fillId="0" borderId="0" xfId="0" applyFont="1" applyAlignment="1">
      <alignment wrapText="1"/>
    </xf>
    <xf numFmtId="0" fontId="9" fillId="4" borderId="0" xfId="0" applyFont="1" applyFill="1" applyAlignment="1">
      <alignment horizontal="center"/>
    </xf>
    <xf numFmtId="0" fontId="9" fillId="4" borderId="2" xfId="0" applyFont="1" applyFill="1" applyBorder="1" applyAlignment="1">
      <alignment horizontal="center"/>
    </xf>
    <xf numFmtId="43" fontId="10" fillId="4" borderId="0" xfId="0" applyNumberFormat="1" applyFont="1" applyFill="1"/>
    <xf numFmtId="164" fontId="7" fillId="5" borderId="0" xfId="0" applyNumberFormat="1" applyFont="1" applyFill="1" applyAlignment="1">
      <alignment horizontal="center"/>
    </xf>
    <xf numFmtId="164" fontId="7" fillId="5" borderId="2" xfId="0" applyNumberFormat="1" applyFont="1" applyFill="1" applyBorder="1" applyAlignment="1">
      <alignment horizontal="center"/>
    </xf>
    <xf numFmtId="43" fontId="10" fillId="5" borderId="0" xfId="0" applyNumberFormat="1" applyFont="1" applyFill="1"/>
    <xf numFmtId="3" fontId="7" fillId="0" borderId="2" xfId="0" applyNumberFormat="1" applyFont="1" applyBorder="1" applyAlignment="1">
      <alignment horizontal="center"/>
    </xf>
    <xf numFmtId="3" fontId="13" fillId="0" borderId="0" xfId="1" applyNumberFormat="1" applyFont="1"/>
    <xf numFmtId="43" fontId="18" fillId="0" borderId="0" xfId="0" applyNumberFormat="1" applyFont="1"/>
    <xf numFmtId="164" fontId="7" fillId="0" borderId="0" xfId="1" applyNumberFormat="1" applyFont="1"/>
    <xf numFmtId="165" fontId="13" fillId="0" borderId="0" xfId="1" applyNumberFormat="1" applyFont="1"/>
    <xf numFmtId="165" fontId="12" fillId="0" borderId="0" xfId="1" applyNumberFormat="1" applyFont="1"/>
    <xf numFmtId="9" fontId="12" fillId="0" borderId="0" xfId="1" applyNumberFormat="1" applyFont="1"/>
    <xf numFmtId="49" fontId="7" fillId="6" borderId="0" xfId="0" applyNumberFormat="1" applyFont="1" applyFill="1"/>
    <xf numFmtId="43" fontId="10" fillId="6" borderId="0" xfId="0" applyNumberFormat="1" applyFont="1" applyFill="1"/>
    <xf numFmtId="43" fontId="10" fillId="0" borderId="9" xfId="0" applyNumberFormat="1" applyFont="1" applyBorder="1"/>
    <xf numFmtId="43" fontId="10" fillId="0" borderId="10" xfId="0" applyNumberFormat="1" applyFont="1" applyBorder="1"/>
    <xf numFmtId="43" fontId="10" fillId="7" borderId="0" xfId="0" applyNumberFormat="1" applyFont="1" applyFill="1"/>
    <xf numFmtId="43" fontId="13" fillId="7" borderId="0" xfId="0" applyNumberFormat="1" applyFont="1" applyFill="1"/>
    <xf numFmtId="49" fontId="7" fillId="7" borderId="0" xfId="0" applyNumberFormat="1" applyFont="1" applyFill="1"/>
    <xf numFmtId="43" fontId="10" fillId="7" borderId="2" xfId="0" applyNumberFormat="1" applyFont="1" applyFill="1" applyBorder="1"/>
    <xf numFmtId="0" fontId="7" fillId="6" borderId="0" xfId="0" applyFont="1" applyFill="1"/>
    <xf numFmtId="43" fontId="13" fillId="6" borderId="0" xfId="0" applyNumberFormat="1" applyFont="1" applyFill="1"/>
    <xf numFmtId="43" fontId="10" fillId="6" borderId="9" xfId="0" applyNumberFormat="1" applyFont="1" applyFill="1" applyBorder="1"/>
    <xf numFmtId="49" fontId="7" fillId="0" borderId="3" xfId="0" applyNumberFormat="1" applyFont="1" applyBorder="1"/>
    <xf numFmtId="49" fontId="7" fillId="6" borderId="9" xfId="0" applyNumberFormat="1" applyFont="1" applyFill="1" applyBorder="1"/>
    <xf numFmtId="49" fontId="7" fillId="0" borderId="9" xfId="0" applyNumberFormat="1" applyFont="1" applyBorder="1"/>
    <xf numFmtId="49" fontId="7" fillId="7" borderId="5" xfId="0" applyNumberFormat="1" applyFont="1" applyFill="1" applyBorder="1"/>
    <xf numFmtId="0" fontId="7" fillId="6" borderId="9" xfId="0" applyFont="1" applyFill="1" applyBorder="1"/>
    <xf numFmtId="49" fontId="7" fillId="0" borderId="10" xfId="0" applyNumberFormat="1" applyFont="1" applyBorder="1"/>
    <xf numFmtId="49" fontId="7" fillId="8" borderId="10" xfId="0" applyNumberFormat="1" applyFont="1" applyFill="1" applyBorder="1"/>
    <xf numFmtId="43" fontId="10" fillId="8" borderId="10" xfId="0" applyNumberFormat="1" applyFont="1" applyFill="1" applyBorder="1"/>
    <xf numFmtId="0" fontId="7" fillId="6" borderId="8" xfId="0" applyFont="1" applyFill="1" applyBorder="1"/>
    <xf numFmtId="49" fontId="7" fillId="6" borderId="8" xfId="0" applyNumberFormat="1" applyFont="1" applyFill="1" applyBorder="1"/>
    <xf numFmtId="43" fontId="10" fillId="6" borderId="8" xfId="0" applyNumberFormat="1" applyFont="1" applyFill="1" applyBorder="1"/>
    <xf numFmtId="49" fontId="7" fillId="0" borderId="4" xfId="0" applyNumberFormat="1" applyFont="1" applyBorder="1"/>
    <xf numFmtId="0" fontId="7" fillId="0" borderId="0" xfId="0" applyFont="1" applyAlignment="1">
      <alignment horizontal="left" indent="1"/>
    </xf>
    <xf numFmtId="3" fontId="12" fillId="6" borderId="9" xfId="1" applyNumberFormat="1" applyFont="1" applyFill="1" applyBorder="1"/>
    <xf numFmtId="164" fontId="12" fillId="6" borderId="9" xfId="0" applyNumberFormat="1" applyFont="1" applyFill="1" applyBorder="1"/>
    <xf numFmtId="164" fontId="12" fillId="6" borderId="9" xfId="1" applyNumberFormat="1" applyFont="1" applyFill="1" applyBorder="1"/>
    <xf numFmtId="165" fontId="12" fillId="6" borderId="9" xfId="1" applyNumberFormat="1" applyFont="1" applyFill="1" applyBorder="1"/>
    <xf numFmtId="0" fontId="12" fillId="6" borderId="9" xfId="0" applyFont="1" applyFill="1" applyBorder="1"/>
    <xf numFmtId="3" fontId="12" fillId="6" borderId="0" xfId="1" applyNumberFormat="1" applyFont="1" applyFill="1"/>
    <xf numFmtId="164" fontId="7" fillId="6" borderId="0" xfId="0" applyNumberFormat="1" applyFont="1" applyFill="1"/>
    <xf numFmtId="164" fontId="12" fillId="6" borderId="0" xfId="1" applyNumberFormat="1" applyFont="1" applyFill="1"/>
    <xf numFmtId="164" fontId="7" fillId="6" borderId="0" xfId="1" applyNumberFormat="1" applyFont="1" applyFill="1"/>
    <xf numFmtId="165" fontId="13" fillId="6" borderId="0" xfId="1" applyNumberFormat="1" applyFont="1" applyFill="1"/>
    <xf numFmtId="0" fontId="13" fillId="6" borderId="0" xfId="0" applyFont="1" applyFill="1"/>
    <xf numFmtId="49" fontId="7" fillId="0" borderId="11" xfId="0" applyNumberFormat="1" applyFont="1" applyBorder="1"/>
    <xf numFmtId="49" fontId="7" fillId="0" borderId="12" xfId="0" applyNumberFormat="1" applyFont="1" applyBorder="1"/>
    <xf numFmtId="49" fontId="7" fillId="6" borderId="12" xfId="0" applyNumberFormat="1" applyFont="1" applyFill="1" applyBorder="1"/>
    <xf numFmtId="49" fontId="7" fillId="6" borderId="13" xfId="0" applyNumberFormat="1" applyFont="1" applyFill="1" applyBorder="1"/>
    <xf numFmtId="49" fontId="7" fillId="0" borderId="14" xfId="0" applyNumberFormat="1" applyFont="1" applyBorder="1"/>
    <xf numFmtId="49" fontId="7" fillId="0" borderId="13" xfId="0" applyNumberFormat="1" applyFont="1" applyBorder="1"/>
    <xf numFmtId="49" fontId="7" fillId="0" borderId="15" xfId="0" applyNumberFormat="1" applyFont="1" applyBorder="1"/>
    <xf numFmtId="49" fontId="7" fillId="7" borderId="12" xfId="0" applyNumberFormat="1" applyFont="1" applyFill="1" applyBorder="1"/>
    <xf numFmtId="0" fontId="7" fillId="0" borderId="12" xfId="0" applyFont="1" applyBorder="1"/>
    <xf numFmtId="49" fontId="7" fillId="7" borderId="16" xfId="0" applyNumberFormat="1" applyFont="1" applyFill="1" applyBorder="1"/>
    <xf numFmtId="49" fontId="7" fillId="8" borderId="17" xfId="0" applyNumberFormat="1" applyFont="1" applyFill="1" applyBorder="1"/>
    <xf numFmtId="49" fontId="7" fillId="6" borderId="18" xfId="0" applyNumberFormat="1" applyFont="1" applyFill="1" applyBorder="1"/>
    <xf numFmtId="49" fontId="7" fillId="0" borderId="17" xfId="0" applyNumberFormat="1" applyFont="1" applyBorder="1"/>
    <xf numFmtId="164" fontId="10" fillId="0" borderId="20" xfId="0" applyNumberFormat="1" applyFont="1" applyBorder="1"/>
    <xf numFmtId="164" fontId="10" fillId="0" borderId="21" xfId="0" applyNumberFormat="1" applyFont="1" applyBorder="1"/>
    <xf numFmtId="43" fontId="10" fillId="0" borderId="21" xfId="0" applyNumberFormat="1" applyFont="1" applyBorder="1"/>
    <xf numFmtId="43" fontId="10" fillId="6" borderId="21" xfId="0" applyNumberFormat="1" applyFont="1" applyFill="1" applyBorder="1"/>
    <xf numFmtId="43" fontId="10" fillId="7" borderId="21" xfId="0" applyNumberFormat="1" applyFont="1" applyFill="1" applyBorder="1"/>
    <xf numFmtId="165" fontId="10" fillId="0" borderId="21" xfId="0" applyNumberFormat="1" applyFont="1" applyBorder="1"/>
    <xf numFmtId="165" fontId="10" fillId="0" borderId="0" xfId="0" applyNumberFormat="1" applyFont="1"/>
    <xf numFmtId="165" fontId="10" fillId="4" borderId="0" xfId="0" applyNumberFormat="1" applyFont="1" applyFill="1"/>
    <xf numFmtId="165" fontId="10" fillId="6" borderId="21" xfId="0" applyNumberFormat="1" applyFont="1" applyFill="1" applyBorder="1"/>
    <xf numFmtId="165" fontId="10" fillId="6" borderId="0" xfId="0" applyNumberFormat="1" applyFont="1" applyFill="1"/>
    <xf numFmtId="165" fontId="10" fillId="6" borderId="22" xfId="0" applyNumberFormat="1" applyFont="1" applyFill="1" applyBorder="1"/>
    <xf numFmtId="165" fontId="10" fillId="6" borderId="9" xfId="0" applyNumberFormat="1" applyFont="1" applyFill="1" applyBorder="1"/>
    <xf numFmtId="165" fontId="10" fillId="0" borderId="23" xfId="0" applyNumberFormat="1" applyFont="1" applyBorder="1"/>
    <xf numFmtId="165" fontId="10" fillId="0" borderId="2" xfId="0" applyNumberFormat="1" applyFont="1" applyBorder="1"/>
    <xf numFmtId="165" fontId="10" fillId="0" borderId="3" xfId="0" applyNumberFormat="1" applyFont="1" applyBorder="1"/>
    <xf numFmtId="165" fontId="10" fillId="4" borderId="3" xfId="0" applyNumberFormat="1" applyFont="1" applyFill="1" applyBorder="1"/>
    <xf numFmtId="165" fontId="10" fillId="0" borderId="24" xfId="0" applyNumberFormat="1" applyFont="1" applyBorder="1"/>
    <xf numFmtId="165" fontId="10" fillId="0" borderId="22" xfId="0" applyNumberFormat="1" applyFont="1" applyBorder="1"/>
    <xf numFmtId="165" fontId="10" fillId="0" borderId="9" xfId="0" applyNumberFormat="1" applyFont="1" applyBorder="1"/>
    <xf numFmtId="165" fontId="10" fillId="4" borderId="9" xfId="0" applyNumberFormat="1" applyFont="1" applyFill="1" applyBorder="1"/>
    <xf numFmtId="165" fontId="10" fillId="0" borderId="25" xfId="0" applyNumberFormat="1" applyFont="1" applyBorder="1"/>
    <xf numFmtId="165" fontId="10" fillId="0" borderId="7" xfId="0" applyNumberFormat="1" applyFont="1" applyBorder="1"/>
    <xf numFmtId="165" fontId="10" fillId="4" borderId="7" xfId="0" applyNumberFormat="1" applyFont="1" applyFill="1" applyBorder="1"/>
    <xf numFmtId="165" fontId="10" fillId="7" borderId="23" xfId="0" applyNumberFormat="1" applyFont="1" applyFill="1" applyBorder="1"/>
    <xf numFmtId="165" fontId="10" fillId="7" borderId="2" xfId="0" applyNumberFormat="1" applyFont="1" applyFill="1" applyBorder="1"/>
    <xf numFmtId="165" fontId="10" fillId="8" borderId="26" xfId="0" applyNumberFormat="1" applyFont="1" applyFill="1" applyBorder="1"/>
    <xf numFmtId="165" fontId="10" fillId="8" borderId="10" xfId="0" applyNumberFormat="1" applyFont="1" applyFill="1" applyBorder="1"/>
    <xf numFmtId="165" fontId="10" fillId="6" borderId="27" xfId="0" applyNumberFormat="1" applyFont="1" applyFill="1" applyBorder="1"/>
    <xf numFmtId="165" fontId="10" fillId="6" borderId="8" xfId="0" applyNumberFormat="1" applyFont="1" applyFill="1" applyBorder="1"/>
    <xf numFmtId="165" fontId="10" fillId="0" borderId="4" xfId="0" applyNumberFormat="1" applyFont="1" applyBorder="1"/>
    <xf numFmtId="165" fontId="10" fillId="4" borderId="4" xfId="0" applyNumberFormat="1" applyFont="1" applyFill="1" applyBorder="1"/>
    <xf numFmtId="165" fontId="10" fillId="0" borderId="26" xfId="0" applyNumberFormat="1" applyFont="1" applyBorder="1"/>
    <xf numFmtId="165" fontId="10" fillId="0" borderId="10" xfId="0" applyNumberFormat="1" applyFont="1" applyBorder="1"/>
    <xf numFmtId="165" fontId="10" fillId="4" borderId="10" xfId="0" applyNumberFormat="1" applyFont="1" applyFill="1" applyBorder="1"/>
    <xf numFmtId="165" fontId="7" fillId="0" borderId="19" xfId="0" applyNumberFormat="1" applyFont="1" applyBorder="1"/>
    <xf numFmtId="165" fontId="7" fillId="0" borderId="6" xfId="0" applyNumberFormat="1" applyFont="1" applyBorder="1"/>
    <xf numFmtId="165" fontId="7" fillId="4" borderId="6" xfId="0" applyNumberFormat="1" applyFont="1" applyFill="1" applyBorder="1"/>
    <xf numFmtId="165" fontId="10" fillId="5" borderId="0" xfId="0" applyNumberFormat="1" applyFont="1" applyFill="1"/>
    <xf numFmtId="165" fontId="10" fillId="5" borderId="2" xfId="0" applyNumberFormat="1" applyFont="1" applyFill="1" applyBorder="1"/>
    <xf numFmtId="165" fontId="10" fillId="5" borderId="3" xfId="0" applyNumberFormat="1" applyFont="1" applyFill="1" applyBorder="1"/>
    <xf numFmtId="165" fontId="10" fillId="5" borderId="9" xfId="0" applyNumberFormat="1" applyFont="1" applyFill="1" applyBorder="1"/>
    <xf numFmtId="165" fontId="10" fillId="5" borderId="7" xfId="0" applyNumberFormat="1" applyFont="1" applyFill="1" applyBorder="1"/>
    <xf numFmtId="165" fontId="13" fillId="0" borderId="0" xfId="0" applyNumberFormat="1" applyFont="1"/>
    <xf numFmtId="165" fontId="13" fillId="6" borderId="0" xfId="0" applyNumberFormat="1" applyFont="1" applyFill="1"/>
    <xf numFmtId="165" fontId="13" fillId="7" borderId="2" xfId="0" applyNumberFormat="1" applyFont="1" applyFill="1" applyBorder="1"/>
    <xf numFmtId="165" fontId="13" fillId="8" borderId="10" xfId="0" applyNumberFormat="1" applyFont="1" applyFill="1" applyBorder="1"/>
    <xf numFmtId="165" fontId="13" fillId="0" borderId="3" xfId="0" applyNumberFormat="1" applyFont="1" applyBorder="1"/>
    <xf numFmtId="165" fontId="13" fillId="6" borderId="8" xfId="0" applyNumberFormat="1" applyFont="1" applyFill="1" applyBorder="1"/>
    <xf numFmtId="165" fontId="10" fillId="5" borderId="4" xfId="0" applyNumberFormat="1" applyFont="1" applyFill="1" applyBorder="1"/>
    <xf numFmtId="165" fontId="13" fillId="0" borderId="4" xfId="0" applyNumberFormat="1" applyFont="1" applyBorder="1"/>
    <xf numFmtId="165" fontId="10" fillId="5" borderId="10" xfId="0" applyNumberFormat="1" applyFont="1" applyFill="1" applyBorder="1"/>
    <xf numFmtId="165" fontId="13" fillId="6" borderId="9" xfId="0" applyNumberFormat="1" applyFont="1" applyFill="1" applyBorder="1"/>
    <xf numFmtId="165" fontId="13" fillId="0" borderId="10" xfId="0" applyNumberFormat="1" applyFont="1" applyBorder="1"/>
    <xf numFmtId="165" fontId="7" fillId="5" borderId="6" xfId="0" applyNumberFormat="1" applyFont="1" applyFill="1" applyBorder="1"/>
    <xf numFmtId="165" fontId="7" fillId="0" borderId="7" xfId="0" applyNumberFormat="1" applyFont="1" applyBorder="1"/>
    <xf numFmtId="165" fontId="13" fillId="0" borderId="7" xfId="0" applyNumberFormat="1" applyFont="1" applyBorder="1"/>
    <xf numFmtId="9" fontId="10" fillId="0" borderId="0" xfId="3" applyFont="1"/>
    <xf numFmtId="9" fontId="10" fillId="0" borderId="2" xfId="3" applyFont="1" applyBorder="1"/>
    <xf numFmtId="9" fontId="10" fillId="0" borderId="3" xfId="3" applyFont="1" applyBorder="1"/>
    <xf numFmtId="9" fontId="10" fillId="6" borderId="9" xfId="3" applyFont="1" applyFill="1" applyBorder="1"/>
    <xf numFmtId="9" fontId="10" fillId="0" borderId="9" xfId="3" applyFont="1" applyBorder="1"/>
    <xf numFmtId="9" fontId="10" fillId="0" borderId="7" xfId="3" applyFont="1" applyBorder="1"/>
    <xf numFmtId="9" fontId="10" fillId="7" borderId="2" xfId="3" applyFont="1" applyFill="1" applyBorder="1"/>
    <xf numFmtId="9" fontId="10" fillId="8" borderId="10" xfId="3" applyFont="1" applyFill="1" applyBorder="1"/>
    <xf numFmtId="9" fontId="10" fillId="6" borderId="0" xfId="3" applyFont="1" applyFill="1"/>
    <xf numFmtId="9" fontId="10" fillId="6" borderId="8" xfId="3" applyFont="1" applyFill="1" applyBorder="1"/>
    <xf numFmtId="9" fontId="10" fillId="0" borderId="4" xfId="3" applyFont="1" applyBorder="1"/>
    <xf numFmtId="9" fontId="10" fillId="0" borderId="10" xfId="3" applyFont="1" applyBorder="1"/>
    <xf numFmtId="9" fontId="10" fillId="9" borderId="0" xfId="3" applyFont="1" applyFill="1"/>
    <xf numFmtId="3" fontId="7" fillId="0" borderId="0" xfId="0" applyNumberFormat="1" applyFont="1"/>
    <xf numFmtId="3" fontId="7" fillId="0" borderId="12" xfId="0" applyNumberFormat="1" applyFont="1" applyBorder="1"/>
    <xf numFmtId="3" fontId="10" fillId="0" borderId="0" xfId="0" applyNumberFormat="1" applyFont="1"/>
    <xf numFmtId="3" fontId="13" fillId="0" borderId="0" xfId="0" applyNumberFormat="1" applyFont="1"/>
    <xf numFmtId="3" fontId="8" fillId="3" borderId="0" xfId="0" applyNumberFormat="1" applyFont="1" applyFill="1"/>
    <xf numFmtId="3" fontId="8" fillId="2" borderId="1" xfId="4" applyNumberFormat="1" applyFont="1"/>
    <xf numFmtId="3" fontId="8" fillId="2" borderId="1" xfId="4" applyNumberFormat="1" applyFont="1" applyAlignment="1">
      <alignment horizontal="right"/>
    </xf>
    <xf numFmtId="3" fontId="0" fillId="2" borderId="1" xfId="4" applyNumberFormat="1" applyFont="1"/>
    <xf numFmtId="3" fontId="0" fillId="0" borderId="0" xfId="0" applyNumberFormat="1"/>
    <xf numFmtId="165" fontId="21" fillId="0" borderId="0" xfId="0" applyNumberFormat="1" applyFont="1"/>
    <xf numFmtId="43" fontId="10" fillId="0" borderId="0" xfId="1" applyFont="1"/>
    <xf numFmtId="165" fontId="10" fillId="0" borderId="0" xfId="1" applyNumberFormat="1" applyFont="1"/>
    <xf numFmtId="165" fontId="10" fillId="4" borderId="0" xfId="1" applyNumberFormat="1" applyFont="1" applyFill="1"/>
    <xf numFmtId="165" fontId="10" fillId="0" borderId="21" xfId="1" applyNumberFormat="1" applyFont="1" applyBorder="1"/>
    <xf numFmtId="165" fontId="10" fillId="0" borderId="28" xfId="0" applyNumberFormat="1" applyFont="1" applyBorder="1"/>
    <xf numFmtId="165" fontId="10" fillId="0" borderId="29" xfId="0" applyNumberFormat="1" applyFont="1" applyBorder="1"/>
    <xf numFmtId="164" fontId="7" fillId="0" borderId="30" xfId="0" applyNumberFormat="1" applyFont="1" applyBorder="1" applyAlignment="1">
      <alignment horizontal="center"/>
    </xf>
    <xf numFmtId="3" fontId="7" fillId="0" borderId="31" xfId="0" quotePrefix="1" applyNumberFormat="1" applyFont="1" applyBorder="1" applyAlignment="1">
      <alignment horizontal="center"/>
    </xf>
    <xf numFmtId="164" fontId="10" fillId="0" borderId="32" xfId="0" applyNumberFormat="1" applyFont="1" applyBorder="1"/>
    <xf numFmtId="165" fontId="10" fillId="0" borderId="32" xfId="0" applyNumberFormat="1" applyFont="1" applyBorder="1"/>
    <xf numFmtId="165" fontId="10" fillId="6" borderId="32" xfId="0" applyNumberFormat="1" applyFont="1" applyFill="1" applyBorder="1"/>
    <xf numFmtId="165" fontId="10" fillId="6" borderId="33" xfId="0" applyNumberFormat="1" applyFont="1" applyFill="1" applyBorder="1"/>
    <xf numFmtId="165" fontId="10" fillId="0" borderId="31" xfId="0" applyNumberFormat="1" applyFont="1" applyBorder="1"/>
    <xf numFmtId="165" fontId="10" fillId="0" borderId="34" xfId="0" applyNumberFormat="1" applyFont="1" applyBorder="1"/>
    <xf numFmtId="43" fontId="10" fillId="0" borderId="32" xfId="0" applyNumberFormat="1" applyFont="1" applyBorder="1"/>
    <xf numFmtId="165" fontId="10" fillId="0" borderId="33" xfId="0" applyNumberFormat="1" applyFont="1" applyBorder="1"/>
    <xf numFmtId="165" fontId="10" fillId="0" borderId="35" xfId="0" applyNumberFormat="1" applyFont="1" applyBorder="1"/>
    <xf numFmtId="43" fontId="10" fillId="7" borderId="32" xfId="0" applyNumberFormat="1" applyFont="1" applyFill="1" applyBorder="1"/>
    <xf numFmtId="43" fontId="10" fillId="6" borderId="32" xfId="0" applyNumberFormat="1" applyFont="1" applyFill="1" applyBorder="1"/>
    <xf numFmtId="165" fontId="10" fillId="7" borderId="31" xfId="0" applyNumberFormat="1" applyFont="1" applyFill="1" applyBorder="1"/>
    <xf numFmtId="165" fontId="10" fillId="8" borderId="36" xfId="0" applyNumberFormat="1" applyFont="1" applyFill="1" applyBorder="1"/>
    <xf numFmtId="165" fontId="10" fillId="0" borderId="30" xfId="0" applyNumberFormat="1" applyFont="1" applyBorder="1"/>
    <xf numFmtId="165" fontId="10" fillId="0" borderId="36" xfId="0" applyNumberFormat="1" applyFont="1" applyBorder="1"/>
    <xf numFmtId="165" fontId="7" fillId="0" borderId="37" xfId="0" applyNumberFormat="1" applyFont="1" applyBorder="1"/>
    <xf numFmtId="43" fontId="7" fillId="0" borderId="32" xfId="0" applyNumberFormat="1" applyFont="1" applyBorder="1"/>
    <xf numFmtId="164" fontId="13" fillId="0" borderId="32" xfId="0" applyNumberFormat="1" applyFont="1" applyBorder="1"/>
    <xf numFmtId="3" fontId="12" fillId="0" borderId="32" xfId="1" applyNumberFormat="1" applyFont="1" applyBorder="1"/>
    <xf numFmtId="3" fontId="12" fillId="6" borderId="32" xfId="1" applyNumberFormat="1" applyFont="1" applyFill="1" applyBorder="1"/>
    <xf numFmtId="3" fontId="12" fillId="6" borderId="33" xfId="1" applyNumberFormat="1" applyFont="1" applyFill="1" applyBorder="1"/>
    <xf numFmtId="9" fontId="12" fillId="0" borderId="32" xfId="3" applyFont="1" applyBorder="1"/>
    <xf numFmtId="164" fontId="8" fillId="0" borderId="0" xfId="0" applyNumberFormat="1" applyFont="1" applyAlignment="1">
      <alignment horizontal="right"/>
    </xf>
    <xf numFmtId="0" fontId="7" fillId="0" borderId="0" xfId="0" applyFont="1" applyAlignment="1">
      <alignment horizontal="right"/>
    </xf>
    <xf numFmtId="164" fontId="8" fillId="0" borderId="2" xfId="0" applyNumberFormat="1" applyFont="1" applyBorder="1" applyAlignment="1">
      <alignment horizontal="right"/>
    </xf>
    <xf numFmtId="164" fontId="7" fillId="0" borderId="0" xfId="0" applyNumberFormat="1" applyFont="1" applyAlignment="1">
      <alignment horizontal="right"/>
    </xf>
    <xf numFmtId="3" fontId="7" fillId="0" borderId="2" xfId="0" applyNumberFormat="1" applyFont="1" applyBorder="1" applyAlignment="1">
      <alignment horizontal="right"/>
    </xf>
    <xf numFmtId="164" fontId="10" fillId="0" borderId="0" xfId="0" applyNumberFormat="1" applyFont="1" applyAlignment="1">
      <alignment horizontal="right"/>
    </xf>
    <xf numFmtId="3" fontId="10" fillId="0" borderId="0" xfId="0" applyNumberFormat="1" applyFont="1" applyAlignment="1">
      <alignment horizontal="right"/>
    </xf>
    <xf numFmtId="165" fontId="10" fillId="0" borderId="0" xfId="0" applyNumberFormat="1" applyFont="1" applyAlignment="1">
      <alignment horizontal="right"/>
    </xf>
    <xf numFmtId="165" fontId="10" fillId="6" borderId="0" xfId="0" applyNumberFormat="1" applyFont="1" applyFill="1" applyAlignment="1">
      <alignment horizontal="right"/>
    </xf>
    <xf numFmtId="165" fontId="10" fillId="6" borderId="9" xfId="0" applyNumberFormat="1" applyFont="1" applyFill="1" applyBorder="1" applyAlignment="1">
      <alignment horizontal="right"/>
    </xf>
    <xf numFmtId="165" fontId="10" fillId="0" borderId="2" xfId="0" applyNumberFormat="1" applyFont="1" applyBorder="1" applyAlignment="1">
      <alignment horizontal="right"/>
    </xf>
    <xf numFmtId="43" fontId="10" fillId="0" borderId="0" xfId="0" applyNumberFormat="1" applyFont="1" applyAlignment="1">
      <alignment horizontal="right"/>
    </xf>
    <xf numFmtId="165" fontId="10" fillId="0" borderId="3" xfId="0" applyNumberFormat="1" applyFont="1" applyBorder="1" applyAlignment="1">
      <alignment horizontal="right"/>
    </xf>
    <xf numFmtId="165" fontId="10" fillId="0" borderId="9" xfId="0" applyNumberFormat="1" applyFont="1" applyBorder="1" applyAlignment="1">
      <alignment horizontal="right"/>
    </xf>
    <xf numFmtId="165" fontId="10" fillId="0" borderId="7" xfId="0" applyNumberFormat="1" applyFont="1" applyBorder="1" applyAlignment="1">
      <alignment horizontal="right"/>
    </xf>
    <xf numFmtId="43" fontId="10" fillId="7" borderId="0" xfId="0" applyNumberFormat="1" applyFont="1" applyFill="1" applyAlignment="1">
      <alignment horizontal="right"/>
    </xf>
    <xf numFmtId="43" fontId="10" fillId="6" borderId="0" xfId="0" applyNumberFormat="1" applyFont="1" applyFill="1" applyAlignment="1">
      <alignment horizontal="right"/>
    </xf>
    <xf numFmtId="165" fontId="10" fillId="7" borderId="2" xfId="0" applyNumberFormat="1" applyFont="1" applyFill="1" applyBorder="1" applyAlignment="1">
      <alignment horizontal="right"/>
    </xf>
    <xf numFmtId="165" fontId="10" fillId="8" borderId="10" xfId="0" applyNumberFormat="1" applyFont="1" applyFill="1" applyBorder="1" applyAlignment="1">
      <alignment horizontal="right"/>
    </xf>
    <xf numFmtId="165" fontId="10" fillId="6" borderId="8" xfId="0" applyNumberFormat="1" applyFont="1" applyFill="1" applyBorder="1" applyAlignment="1">
      <alignment horizontal="right"/>
    </xf>
    <xf numFmtId="165" fontId="10" fillId="0" borderId="4" xfId="0" applyNumberFormat="1" applyFont="1" applyBorder="1" applyAlignment="1">
      <alignment horizontal="right"/>
    </xf>
    <xf numFmtId="165" fontId="10" fillId="0" borderId="26" xfId="0" applyNumberFormat="1" applyFont="1" applyBorder="1" applyAlignment="1">
      <alignment horizontal="right"/>
    </xf>
    <xf numFmtId="165" fontId="10" fillId="0" borderId="10" xfId="0" applyNumberFormat="1" applyFont="1" applyBorder="1" applyAlignment="1">
      <alignment horizontal="right"/>
    </xf>
    <xf numFmtId="165" fontId="7" fillId="0" borderId="6" xfId="0" applyNumberFormat="1" applyFont="1" applyBorder="1" applyAlignment="1">
      <alignment horizontal="right"/>
    </xf>
    <xf numFmtId="43" fontId="7" fillId="0" borderId="0" xfId="0" applyNumberFormat="1" applyFont="1" applyAlignment="1">
      <alignment horizontal="right"/>
    </xf>
    <xf numFmtId="164" fontId="13" fillId="0" borderId="0" xfId="0" applyNumberFormat="1" applyFont="1" applyAlignment="1">
      <alignment horizontal="right"/>
    </xf>
    <xf numFmtId="3" fontId="12" fillId="0" borderId="0" xfId="1" applyNumberFormat="1" applyFont="1" applyAlignment="1">
      <alignment horizontal="right"/>
    </xf>
    <xf numFmtId="3" fontId="12" fillId="6" borderId="0" xfId="1" applyNumberFormat="1" applyFont="1" applyFill="1" applyAlignment="1">
      <alignment horizontal="right"/>
    </xf>
    <xf numFmtId="3" fontId="12" fillId="6" borderId="9" xfId="1" applyNumberFormat="1" applyFont="1" applyFill="1" applyBorder="1" applyAlignment="1">
      <alignment horizontal="right"/>
    </xf>
    <xf numFmtId="9" fontId="12" fillId="0" borderId="0" xfId="3" applyFont="1" applyAlignment="1">
      <alignment horizontal="right"/>
    </xf>
    <xf numFmtId="164" fontId="0" fillId="0" borderId="0" xfId="0" applyNumberFormat="1" applyAlignment="1">
      <alignment horizontal="right"/>
    </xf>
    <xf numFmtId="9" fontId="10" fillId="0" borderId="0" xfId="3" applyFont="1" applyFill="1" applyBorder="1"/>
    <xf numFmtId="0" fontId="23" fillId="10" borderId="38" xfId="0" applyFont="1" applyFill="1" applyBorder="1"/>
    <xf numFmtId="0" fontId="17" fillId="0" borderId="0" xfId="0" applyFont="1" applyAlignment="1">
      <alignment horizontal="left" vertical="top" wrapText="1"/>
    </xf>
  </cellXfs>
  <cellStyles count="5">
    <cellStyle name="Comma" xfId="1" builtinId="3"/>
    <cellStyle name="Currency" xfId="2" builtinId="4"/>
    <cellStyle name="Normal" xfId="0" builtinId="0"/>
    <cellStyle name="Note" xfId="4" builtinId="10"/>
    <cellStyle name="Percent" xfId="3" builtinId="5"/>
  </cellStyles>
  <dxfs count="0"/>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HPPOA Associate 2" id="{D54283D1-7C70-4F49-8F9B-8F3177EF8D4E}" userId="S-1-5-21-450897924-2102311800-2089579742-111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34" dT="2021-02-15T19:08:22.77" personId="{D54283D1-7C70-4F49-8F9B-8F3177EF8D4E}" id="{D77B986F-1AE1-45DF-B42C-851B3565B775}">
    <text>This was paid in 03/2019 and swap meet wasn't able to be held due to covid 19. They're going to start up again in 03/21. Fees won't be due again until 03/22</text>
  </threadedComment>
</ThreadedComments>
</file>

<file path=xl/threadedComments/threadedComment2.xml><?xml version="1.0" encoding="utf-8"?>
<ThreadedComments xmlns="http://schemas.microsoft.com/office/spreadsheetml/2018/threadedcomments" xmlns:x="http://schemas.openxmlformats.org/spreadsheetml/2006/main">
  <threadedComment ref="G34" dT="2021-02-15T19:08:22.77" personId="{D54283D1-7C70-4F49-8F9B-8F3177EF8D4E}" id="{87D64B95-5A7F-445A-A671-1D06E6C6AEE7}">
    <text>This was paid in 03/2019 and swap meet wasn't able to be held due to covid 19. They're going to start up again in 03/21. Fees won't be due again until 03/22</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E4:E6"/>
  <sheetViews>
    <sheetView workbookViewId="0">
      <selection activeCell="C17" sqref="C17"/>
    </sheetView>
  </sheetViews>
  <sheetFormatPr baseColWidth="10" defaultColWidth="8.83203125" defaultRowHeight="15" x14ac:dyDescent="0.2"/>
  <sheetData>
    <row r="4" spans="5:5" ht="19" x14ac:dyDescent="0.25">
      <c r="E4" s="2" t="s">
        <v>0</v>
      </c>
    </row>
    <row r="5" spans="5:5" ht="19" x14ac:dyDescent="0.25">
      <c r="E5" s="3"/>
    </row>
    <row r="6" spans="5:5" ht="19" x14ac:dyDescent="0.25">
      <c r="E6" s="5" t="s">
        <v>1</v>
      </c>
    </row>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Q227"/>
  <sheetViews>
    <sheetView topLeftCell="A182" zoomScale="75" zoomScaleNormal="75" workbookViewId="0">
      <selection sqref="A1:AE202"/>
    </sheetView>
  </sheetViews>
  <sheetFormatPr baseColWidth="10" defaultColWidth="8.83203125" defaultRowHeight="15" x14ac:dyDescent="0.2"/>
  <cols>
    <col min="1" max="6" width="3" style="18" customWidth="1"/>
    <col min="7" max="7" width="41.5" style="18" customWidth="1"/>
    <col min="8" max="8" width="14.33203125" style="19" customWidth="1"/>
    <col min="9" max="9" width="18.1640625" style="19" customWidth="1"/>
    <col min="10" max="11" width="11.5" style="19" customWidth="1"/>
    <col min="12" max="12" width="15.83203125" style="19" customWidth="1"/>
    <col min="13" max="13" width="15.5" style="19" customWidth="1"/>
    <col min="14" max="14" width="16.5" style="19" customWidth="1"/>
    <col min="15" max="15" width="14.1640625" style="19" hidden="1" customWidth="1"/>
    <col min="16" max="16" width="13.5" style="19" hidden="1" customWidth="1"/>
    <col min="17" max="17" width="17.6640625" style="19" hidden="1" customWidth="1"/>
    <col min="18" max="18" width="15.1640625" style="19" hidden="1" customWidth="1"/>
    <col min="19" max="19" width="12.83203125" style="280" hidden="1" customWidth="1"/>
    <col min="20" max="20" width="16" style="19" bestFit="1" customWidth="1"/>
    <col min="21" max="21" width="14.83203125" style="19" customWidth="1"/>
    <col min="22" max="22" width="2.33203125" style="19" customWidth="1"/>
    <col min="23" max="23" width="14.83203125" style="19" customWidth="1"/>
    <col min="24" max="24" width="3" style="19" customWidth="1"/>
    <col min="25" max="25" width="12.83203125" style="20" customWidth="1"/>
    <col min="26" max="26" width="2.33203125" style="19" customWidth="1"/>
    <col min="27" max="27" width="14.83203125" style="19" customWidth="1"/>
    <col min="28" max="28" width="2.33203125" style="19" customWidth="1"/>
    <col min="29" max="29" width="16.5" style="19" customWidth="1"/>
    <col min="30" max="30" width="1.6640625" customWidth="1"/>
    <col min="31" max="31" width="21.33203125" style="4" customWidth="1"/>
    <col min="32" max="32" width="16.6640625" style="21" customWidth="1"/>
    <col min="33" max="33" width="12.5" customWidth="1"/>
    <col min="35" max="35" width="10" bestFit="1" customWidth="1"/>
    <col min="36" max="36" width="16.5" customWidth="1"/>
    <col min="37" max="37" width="9.33203125" bestFit="1" customWidth="1"/>
    <col min="38" max="38" width="16.5" customWidth="1"/>
    <col min="39" max="39" width="15" bestFit="1" customWidth="1"/>
    <col min="40" max="40" width="11.5" bestFit="1" customWidth="1"/>
  </cols>
  <sheetData>
    <row r="1" spans="1:43" ht="16" x14ac:dyDescent="0.2">
      <c r="A1" s="22"/>
      <c r="B1" s="22"/>
      <c r="C1" s="22"/>
      <c r="D1" s="22"/>
      <c r="E1" s="22"/>
      <c r="F1" s="22"/>
      <c r="H1" s="23"/>
      <c r="I1" s="23"/>
      <c r="J1" s="23"/>
      <c r="K1" s="23"/>
      <c r="L1" s="23"/>
      <c r="M1" s="23"/>
      <c r="N1" s="23"/>
      <c r="O1" s="23"/>
      <c r="P1" s="23"/>
      <c r="Q1" s="23"/>
      <c r="R1" s="23"/>
      <c r="S1" s="250"/>
      <c r="V1" s="23"/>
      <c r="W1" s="23"/>
      <c r="X1" s="23"/>
      <c r="Y1" s="24"/>
      <c r="Z1" s="23"/>
      <c r="AA1" s="23"/>
      <c r="AB1" s="23"/>
      <c r="AD1" s="25"/>
      <c r="AE1" s="25"/>
      <c r="AF1" s="26"/>
      <c r="AG1" s="25"/>
      <c r="AH1" s="25"/>
    </row>
    <row r="2" spans="1:43" ht="16" x14ac:dyDescent="0.2">
      <c r="A2" s="22"/>
      <c r="B2" s="22"/>
      <c r="C2" s="22"/>
      <c r="D2" s="22"/>
      <c r="E2" s="22"/>
      <c r="F2" s="22"/>
      <c r="H2" s="22" t="s">
        <v>239</v>
      </c>
      <c r="I2" s="22"/>
      <c r="J2" s="22"/>
      <c r="K2" s="22"/>
      <c r="L2" s="22"/>
      <c r="M2" s="22"/>
      <c r="N2" s="22"/>
      <c r="O2" s="22"/>
      <c r="P2" s="22"/>
      <c r="Q2" s="22"/>
      <c r="R2" s="22"/>
      <c r="S2" s="251"/>
      <c r="T2" s="23"/>
      <c r="U2" s="23"/>
      <c r="V2" s="23"/>
      <c r="W2" s="23"/>
      <c r="X2" s="23"/>
      <c r="Y2" s="24"/>
      <c r="Z2" s="23"/>
      <c r="AA2" s="23"/>
      <c r="AB2" s="23"/>
      <c r="AD2" s="25"/>
      <c r="AE2" s="25"/>
      <c r="AF2" s="26"/>
      <c r="AG2" s="25"/>
      <c r="AH2" s="25"/>
    </row>
    <row r="3" spans="1:43" ht="16" x14ac:dyDescent="0.2">
      <c r="A3" s="22"/>
      <c r="B3" s="22"/>
      <c r="C3" s="22"/>
      <c r="D3" s="22"/>
      <c r="E3" s="22"/>
      <c r="F3" s="22"/>
      <c r="G3" s="22"/>
      <c r="H3" s="23"/>
      <c r="I3" s="23"/>
      <c r="J3" s="23"/>
      <c r="K3" s="23"/>
      <c r="L3" s="23"/>
      <c r="M3" s="23"/>
      <c r="N3" s="23"/>
      <c r="O3" s="23"/>
      <c r="P3" s="23"/>
      <c r="Q3" s="23"/>
      <c r="R3" s="23"/>
      <c r="S3" s="250"/>
      <c r="T3" s="23"/>
      <c r="U3" s="23"/>
      <c r="V3" s="23"/>
      <c r="W3" s="23"/>
      <c r="X3" s="23"/>
      <c r="Y3" s="24"/>
      <c r="Z3" s="23"/>
      <c r="AA3" s="23"/>
      <c r="AB3" s="23"/>
      <c r="AD3" s="25"/>
      <c r="AE3" s="25"/>
      <c r="AF3" s="26"/>
      <c r="AG3" s="25"/>
      <c r="AH3" s="25"/>
    </row>
    <row r="4" spans="1:43" ht="17" thickBot="1" x14ac:dyDescent="0.25">
      <c r="A4" s="27"/>
      <c r="B4" s="27"/>
      <c r="C4" s="27"/>
      <c r="D4" s="27"/>
      <c r="E4" s="27"/>
      <c r="F4" s="27"/>
      <c r="G4" s="27"/>
      <c r="H4" s="28"/>
      <c r="I4" s="28"/>
      <c r="J4" s="28"/>
      <c r="K4" s="28"/>
      <c r="L4" s="28"/>
      <c r="M4" s="28"/>
      <c r="N4" s="28"/>
      <c r="O4" s="28"/>
      <c r="P4" s="28"/>
      <c r="Q4" s="28"/>
      <c r="R4" s="28"/>
      <c r="S4" s="252"/>
      <c r="T4" s="28"/>
      <c r="U4" s="28"/>
      <c r="V4" s="28"/>
      <c r="W4" s="28"/>
      <c r="X4" s="28"/>
      <c r="Y4" s="29"/>
      <c r="Z4" s="28"/>
      <c r="AA4" s="28"/>
      <c r="AB4" s="28"/>
      <c r="AC4" s="67"/>
      <c r="AD4" s="30"/>
      <c r="AE4" s="30"/>
      <c r="AF4" s="26"/>
      <c r="AG4" s="25"/>
      <c r="AH4" s="31"/>
      <c r="AI4" s="7" t="s">
        <v>213</v>
      </c>
      <c r="AJ4" s="7"/>
      <c r="AK4" s="7"/>
      <c r="AL4" s="7"/>
      <c r="AM4" s="7"/>
      <c r="AN4" s="7"/>
      <c r="AO4" s="7"/>
      <c r="AP4" s="7"/>
      <c r="AQ4" s="7"/>
    </row>
    <row r="5" spans="1:43" ht="16" x14ac:dyDescent="0.2">
      <c r="A5" s="32"/>
      <c r="B5" s="32"/>
      <c r="C5" s="32"/>
      <c r="D5" s="32"/>
      <c r="E5" s="32"/>
      <c r="F5" s="32"/>
      <c r="G5" s="32"/>
      <c r="H5" s="33" t="s">
        <v>2</v>
      </c>
      <c r="I5" s="33" t="s">
        <v>2</v>
      </c>
      <c r="J5" s="33" t="s">
        <v>2</v>
      </c>
      <c r="K5" s="33" t="s">
        <v>2</v>
      </c>
      <c r="L5" s="33" t="s">
        <v>2</v>
      </c>
      <c r="M5" s="33" t="s">
        <v>2</v>
      </c>
      <c r="N5" s="33" t="s">
        <v>2</v>
      </c>
      <c r="O5" s="33" t="s">
        <v>2</v>
      </c>
      <c r="P5" s="33" t="s">
        <v>2</v>
      </c>
      <c r="Q5" s="33" t="s">
        <v>2</v>
      </c>
      <c r="R5" s="33" t="s">
        <v>2</v>
      </c>
      <c r="S5" s="253" t="s">
        <v>2</v>
      </c>
      <c r="T5" s="226" t="s">
        <v>209</v>
      </c>
      <c r="U5" s="33" t="s">
        <v>4</v>
      </c>
      <c r="V5" s="34"/>
      <c r="W5" s="80" t="s">
        <v>5</v>
      </c>
      <c r="X5" s="33"/>
      <c r="Y5" s="35" t="s">
        <v>186</v>
      </c>
      <c r="Z5" s="34"/>
      <c r="AA5" s="83" t="s">
        <v>6</v>
      </c>
      <c r="AB5" s="34"/>
      <c r="AC5" s="68" t="s">
        <v>210</v>
      </c>
      <c r="AD5" s="36"/>
      <c r="AE5" s="36" t="s">
        <v>7</v>
      </c>
      <c r="AF5" s="37" t="s">
        <v>174</v>
      </c>
      <c r="AG5" s="25"/>
      <c r="AH5" s="31"/>
      <c r="AI5" s="7">
        <v>7</v>
      </c>
      <c r="AJ5" s="7"/>
      <c r="AK5" s="7"/>
      <c r="AL5" s="7"/>
      <c r="AM5" s="7"/>
      <c r="AN5" s="7"/>
      <c r="AO5" s="7"/>
      <c r="AP5" s="7"/>
      <c r="AQ5" s="7"/>
    </row>
    <row r="6" spans="1:43" s="1" customFormat="1" ht="17" thickBot="1" x14ac:dyDescent="0.25">
      <c r="A6" s="38"/>
      <c r="B6" s="38"/>
      <c r="C6" s="38"/>
      <c r="D6" s="38"/>
      <c r="E6" s="38"/>
      <c r="F6" s="38"/>
      <c r="G6" s="38"/>
      <c r="H6" s="39" t="s">
        <v>225</v>
      </c>
      <c r="I6" s="39" t="s">
        <v>226</v>
      </c>
      <c r="J6" s="39" t="s">
        <v>227</v>
      </c>
      <c r="K6" s="39" t="s">
        <v>228</v>
      </c>
      <c r="L6" s="39" t="s">
        <v>229</v>
      </c>
      <c r="M6" s="39" t="s">
        <v>230</v>
      </c>
      <c r="N6" s="86" t="s">
        <v>231</v>
      </c>
      <c r="O6" s="86" t="s">
        <v>232</v>
      </c>
      <c r="P6" s="86" t="s">
        <v>233</v>
      </c>
      <c r="Q6" s="86" t="s">
        <v>234</v>
      </c>
      <c r="R6" s="86" t="s">
        <v>235</v>
      </c>
      <c r="S6" s="254" t="s">
        <v>236</v>
      </c>
      <c r="T6" s="227" t="s">
        <v>208</v>
      </c>
      <c r="U6" s="41" t="s">
        <v>190</v>
      </c>
      <c r="V6" s="40"/>
      <c r="W6" s="81" t="s">
        <v>237</v>
      </c>
      <c r="X6" s="41"/>
      <c r="Y6" s="42"/>
      <c r="Z6" s="40"/>
      <c r="AA6" s="84" t="s">
        <v>3</v>
      </c>
      <c r="AB6" s="40"/>
      <c r="AC6" s="69" t="s">
        <v>224</v>
      </c>
      <c r="AD6" s="43"/>
      <c r="AE6" s="43"/>
      <c r="AF6" s="37" t="s">
        <v>175</v>
      </c>
      <c r="AG6" s="36"/>
      <c r="AH6" s="44"/>
      <c r="AI6" s="1" t="s">
        <v>217</v>
      </c>
      <c r="AJ6" s="8"/>
      <c r="AK6" s="8"/>
      <c r="AL6" s="8"/>
      <c r="AM6" s="8"/>
      <c r="AN6" s="8"/>
    </row>
    <row r="7" spans="1:43" ht="16" x14ac:dyDescent="0.2">
      <c r="A7" s="32"/>
      <c r="B7" s="32" t="s">
        <v>8</v>
      </c>
      <c r="C7" s="32"/>
      <c r="D7" s="32"/>
      <c r="E7" s="32"/>
      <c r="F7" s="32"/>
      <c r="G7" s="128"/>
      <c r="H7" s="141"/>
      <c r="I7" s="45"/>
      <c r="J7" s="45"/>
      <c r="K7" s="45"/>
      <c r="L7" s="45"/>
      <c r="M7" s="45"/>
      <c r="N7" s="45"/>
      <c r="O7" s="45"/>
      <c r="P7" s="45"/>
      <c r="Q7" s="45"/>
      <c r="R7" s="45"/>
      <c r="S7" s="255"/>
      <c r="T7" s="228"/>
      <c r="U7" s="45"/>
      <c r="V7" s="45"/>
      <c r="W7" s="45"/>
      <c r="X7" s="45"/>
      <c r="Y7" s="197"/>
      <c r="Z7" s="45"/>
      <c r="AA7" s="45"/>
      <c r="AB7" s="45"/>
      <c r="AC7" s="45"/>
      <c r="AD7" s="71"/>
      <c r="AE7" s="71"/>
      <c r="AF7" s="26"/>
      <c r="AG7" s="25"/>
      <c r="AH7" s="44"/>
    </row>
    <row r="8" spans="1:43" ht="16" x14ac:dyDescent="0.2">
      <c r="A8" s="32"/>
      <c r="B8" s="32" t="s">
        <v>9</v>
      </c>
      <c r="C8" s="32"/>
      <c r="D8" s="32"/>
      <c r="E8" s="32"/>
      <c r="F8" s="32"/>
      <c r="G8" s="129"/>
      <c r="H8" s="142"/>
      <c r="I8" s="45"/>
      <c r="J8" s="45"/>
      <c r="K8" s="45"/>
      <c r="L8" s="45"/>
      <c r="M8" s="45"/>
      <c r="N8" s="45"/>
      <c r="O8" s="45"/>
      <c r="P8" s="45"/>
      <c r="Q8" s="45"/>
      <c r="R8" s="45"/>
      <c r="S8" s="255"/>
      <c r="T8" s="228"/>
      <c r="U8" s="45"/>
      <c r="V8" s="45"/>
      <c r="W8" s="45"/>
      <c r="X8" s="45"/>
      <c r="Y8" s="197"/>
      <c r="Z8" s="45"/>
      <c r="AA8" s="45"/>
      <c r="AB8" s="45"/>
      <c r="AC8" s="45"/>
      <c r="AD8" s="71"/>
      <c r="AE8" s="71"/>
      <c r="AF8" s="26"/>
      <c r="AG8" s="25"/>
      <c r="AH8" s="44"/>
    </row>
    <row r="9" spans="1:43" ht="16" x14ac:dyDescent="0.2">
      <c r="A9" s="32"/>
      <c r="B9" s="32" t="s">
        <v>10</v>
      </c>
      <c r="C9" s="32"/>
      <c r="D9" s="32"/>
      <c r="E9" s="32"/>
      <c r="F9" s="32"/>
      <c r="G9" s="129"/>
      <c r="H9" s="142"/>
      <c r="I9" s="45"/>
      <c r="J9" s="45"/>
      <c r="K9" s="45"/>
      <c r="L9" s="45"/>
      <c r="M9" s="45"/>
      <c r="N9" s="45"/>
      <c r="O9" s="45"/>
      <c r="P9" s="45"/>
      <c r="Q9" s="45"/>
      <c r="R9" s="45"/>
      <c r="S9" s="255"/>
      <c r="T9" s="228"/>
      <c r="U9" s="45"/>
      <c r="V9" s="45"/>
      <c r="W9" s="45"/>
      <c r="X9" s="45"/>
      <c r="Y9" s="197"/>
      <c r="Z9" s="45"/>
      <c r="AA9" s="45"/>
      <c r="AB9" s="45"/>
      <c r="AC9" s="45"/>
      <c r="AD9" s="71"/>
      <c r="AE9" s="71"/>
      <c r="AF9" s="26"/>
      <c r="AG9" s="46" t="s">
        <v>11</v>
      </c>
      <c r="AH9" s="47"/>
      <c r="AI9" s="7"/>
      <c r="AJ9" s="7"/>
      <c r="AK9" s="7"/>
      <c r="AL9" s="7"/>
      <c r="AM9" s="7"/>
      <c r="AN9" s="7"/>
      <c r="AO9" s="7"/>
      <c r="AP9" s="7"/>
    </row>
    <row r="10" spans="1:43" s="218" customFormat="1" ht="16" x14ac:dyDescent="0.2">
      <c r="A10" s="210"/>
      <c r="B10" s="210"/>
      <c r="C10" s="210" t="s">
        <v>218</v>
      </c>
      <c r="D10" s="210"/>
      <c r="E10" s="210"/>
      <c r="F10" s="210"/>
      <c r="G10" s="211"/>
      <c r="H10" s="223"/>
      <c r="I10" s="221">
        <v>1634.14</v>
      </c>
      <c r="J10" s="220">
        <v>817.07</v>
      </c>
      <c r="K10" s="221">
        <v>833.41</v>
      </c>
      <c r="L10" s="221">
        <v>833.41</v>
      </c>
      <c r="M10" s="221"/>
      <c r="N10" s="221">
        <v>833.41</v>
      </c>
      <c r="O10" s="212"/>
      <c r="P10" s="212"/>
      <c r="Q10" s="212"/>
      <c r="R10" s="212"/>
      <c r="S10" s="256"/>
      <c r="T10" s="229">
        <f>AC10/12</f>
        <v>816.66666666666663</v>
      </c>
      <c r="U10" s="147">
        <f>W10-AA10</f>
        <v>-765.22666666666646</v>
      </c>
      <c r="V10" s="212"/>
      <c r="W10" s="222">
        <f t="shared" ref="W10:W19" si="0">SUM(H10:S10)</f>
        <v>4951.4399999999996</v>
      </c>
      <c r="X10" s="212"/>
      <c r="Y10" s="197">
        <f>W10/AC10</f>
        <v>0.50524897959183668</v>
      </c>
      <c r="Z10" s="212"/>
      <c r="AA10" s="178">
        <f>AC10/12*$AI$5</f>
        <v>5716.6666666666661</v>
      </c>
      <c r="AB10" s="212"/>
      <c r="AC10" s="221">
        <v>9800</v>
      </c>
      <c r="AD10" s="213"/>
      <c r="AE10" s="213"/>
      <c r="AF10" s="214"/>
      <c r="AG10" s="215"/>
      <c r="AH10" s="216"/>
      <c r="AI10" s="217"/>
      <c r="AJ10" s="217"/>
      <c r="AK10" s="217"/>
      <c r="AL10" s="217"/>
      <c r="AM10" s="217"/>
      <c r="AN10" s="217"/>
      <c r="AO10" s="217"/>
      <c r="AP10" s="217"/>
    </row>
    <row r="11" spans="1:43" ht="16" x14ac:dyDescent="0.2">
      <c r="A11" s="32"/>
      <c r="B11" s="32"/>
      <c r="C11" s="32" t="s">
        <v>181</v>
      </c>
      <c r="D11" s="32"/>
      <c r="E11" s="32"/>
      <c r="F11" s="32"/>
      <c r="G11" s="129"/>
      <c r="H11" s="146">
        <v>289542</v>
      </c>
      <c r="I11" s="147">
        <v>289146</v>
      </c>
      <c r="J11" s="147">
        <v>289146</v>
      </c>
      <c r="K11" s="147">
        <v>289290</v>
      </c>
      <c r="L11" s="147">
        <v>289146</v>
      </c>
      <c r="M11" s="147">
        <v>289146</v>
      </c>
      <c r="N11" s="147">
        <v>286902</v>
      </c>
      <c r="O11" s="147"/>
      <c r="P11" s="147"/>
      <c r="Q11" s="147"/>
      <c r="R11" s="147"/>
      <c r="S11" s="257"/>
      <c r="T11" s="229">
        <f>AC11/12</f>
        <v>287100</v>
      </c>
      <c r="U11" s="147">
        <f>W11-AA11</f>
        <v>12618</v>
      </c>
      <c r="V11" s="147"/>
      <c r="W11" s="148">
        <f t="shared" si="0"/>
        <v>2022318</v>
      </c>
      <c r="X11" s="48"/>
      <c r="Y11" s="197">
        <f>W11/AC11</f>
        <v>0.58699582027168229</v>
      </c>
      <c r="Z11" s="48"/>
      <c r="AA11" s="178">
        <f>AC11/12*$AI$5</f>
        <v>2009700</v>
      </c>
      <c r="AB11" s="147"/>
      <c r="AC11" s="147">
        <v>3445200</v>
      </c>
      <c r="AD11" s="72"/>
      <c r="AE11" s="72"/>
      <c r="AF11" s="49"/>
      <c r="AG11" s="50"/>
      <c r="AH11" s="44"/>
    </row>
    <row r="12" spans="1:43" ht="16" x14ac:dyDescent="0.2">
      <c r="A12" s="32"/>
      <c r="B12" s="32"/>
      <c r="C12" s="32" t="s">
        <v>189</v>
      </c>
      <c r="D12" s="32"/>
      <c r="E12" s="32"/>
      <c r="F12" s="32"/>
      <c r="G12" s="129"/>
      <c r="H12" s="146"/>
      <c r="I12" s="147"/>
      <c r="J12" s="147"/>
      <c r="K12" s="147">
        <v>660</v>
      </c>
      <c r="L12" s="147">
        <v>327</v>
      </c>
      <c r="M12" s="147">
        <v>348</v>
      </c>
      <c r="N12" s="147"/>
      <c r="O12" s="147"/>
      <c r="P12" s="147"/>
      <c r="Q12" s="147"/>
      <c r="R12" s="147"/>
      <c r="S12" s="257"/>
      <c r="T12" s="229">
        <f>AC12/12</f>
        <v>208.33333333333334</v>
      </c>
      <c r="U12" s="147">
        <f t="shared" ref="U12:U71" si="1">W12-AA12</f>
        <v>-123.33333333333348</v>
      </c>
      <c r="V12" s="147"/>
      <c r="W12" s="148">
        <f t="shared" si="0"/>
        <v>1335</v>
      </c>
      <c r="X12" s="48"/>
      <c r="Y12" s="197">
        <f t="shared" ref="Y12:Y40" si="2">W12/AC12</f>
        <v>0.53400000000000003</v>
      </c>
      <c r="Z12" s="48"/>
      <c r="AA12" s="178">
        <f t="shared" ref="AA12:AA22" si="3">AC12/12*$AI$5</f>
        <v>1458.3333333333335</v>
      </c>
      <c r="AB12" s="147"/>
      <c r="AC12" s="147">
        <v>2500</v>
      </c>
      <c r="AD12" s="72"/>
      <c r="AE12" s="72"/>
      <c r="AF12" s="49"/>
      <c r="AG12" s="50"/>
      <c r="AH12" s="44"/>
    </row>
    <row r="13" spans="1:43" ht="16" x14ac:dyDescent="0.2">
      <c r="A13" s="32"/>
      <c r="B13" s="32"/>
      <c r="C13" s="32" t="s">
        <v>12</v>
      </c>
      <c r="D13" s="32"/>
      <c r="E13" s="32"/>
      <c r="F13" s="32"/>
      <c r="G13" s="129"/>
      <c r="H13" s="146">
        <v>17461.53</v>
      </c>
      <c r="I13" s="147">
        <v>17027.53</v>
      </c>
      <c r="J13" s="147">
        <v>16011.14</v>
      </c>
      <c r="K13" s="147">
        <v>16246.5</v>
      </c>
      <c r="L13" s="147">
        <v>15596.03</v>
      </c>
      <c r="M13" s="147">
        <v>14662.41</v>
      </c>
      <c r="N13" s="147">
        <v>14673.15</v>
      </c>
      <c r="O13" s="147"/>
      <c r="P13" s="147"/>
      <c r="Q13" s="147"/>
      <c r="R13" s="147"/>
      <c r="S13" s="257"/>
      <c r="T13" s="229">
        <f t="shared" ref="T13:T62" si="4">AC13/12</f>
        <v>10000</v>
      </c>
      <c r="U13" s="147">
        <f t="shared" si="1"/>
        <v>41678.289999999994</v>
      </c>
      <c r="V13" s="147"/>
      <c r="W13" s="148">
        <f t="shared" si="0"/>
        <v>111678.29</v>
      </c>
      <c r="X13" s="48"/>
      <c r="Y13" s="197">
        <f t="shared" si="2"/>
        <v>0.93065241666666665</v>
      </c>
      <c r="Z13" s="48"/>
      <c r="AA13" s="178">
        <f t="shared" si="3"/>
        <v>70000</v>
      </c>
      <c r="AB13" s="147"/>
      <c r="AC13" s="147">
        <v>120000</v>
      </c>
      <c r="AD13" s="72"/>
      <c r="AE13" s="72"/>
      <c r="AF13" s="49">
        <f t="shared" ref="AF13:AF76" si="5">AA13-AC13</f>
        <v>-50000</v>
      </c>
      <c r="AG13" s="50">
        <f t="shared" ref="AG13:AG22" si="6">+AC13/12</f>
        <v>10000</v>
      </c>
      <c r="AH13" s="44"/>
      <c r="AJ13" s="11" t="s">
        <v>13</v>
      </c>
      <c r="AK13" s="12"/>
      <c r="AL13" s="13"/>
      <c r="AM13" s="10"/>
    </row>
    <row r="14" spans="1:43" ht="16" x14ac:dyDescent="0.2">
      <c r="A14" s="32"/>
      <c r="B14" s="32"/>
      <c r="C14" s="32" t="s">
        <v>195</v>
      </c>
      <c r="D14" s="32"/>
      <c r="E14" s="32"/>
      <c r="F14" s="32"/>
      <c r="G14" s="129"/>
      <c r="H14" s="146">
        <v>105</v>
      </c>
      <c r="I14" s="147">
        <v>35</v>
      </c>
      <c r="J14" s="147"/>
      <c r="K14" s="147"/>
      <c r="L14" s="147"/>
      <c r="M14" s="147"/>
      <c r="N14" s="147"/>
      <c r="O14" s="147"/>
      <c r="P14" s="147"/>
      <c r="Q14" s="147"/>
      <c r="R14" s="147"/>
      <c r="S14" s="257"/>
      <c r="T14" s="229">
        <v>250</v>
      </c>
      <c r="U14" s="147">
        <f t="shared" si="1"/>
        <v>81.666666666666657</v>
      </c>
      <c r="V14" s="147"/>
      <c r="W14" s="148">
        <f t="shared" si="0"/>
        <v>140</v>
      </c>
      <c r="X14" s="48"/>
      <c r="Y14" s="197">
        <f t="shared" si="2"/>
        <v>1.4</v>
      </c>
      <c r="Z14" s="48"/>
      <c r="AA14" s="178">
        <f t="shared" si="3"/>
        <v>58.333333333333336</v>
      </c>
      <c r="AB14" s="147"/>
      <c r="AC14" s="147">
        <v>100</v>
      </c>
      <c r="AD14" s="72"/>
      <c r="AE14" s="72"/>
      <c r="AF14" s="49"/>
      <c r="AG14" s="50"/>
      <c r="AH14" s="44"/>
      <c r="AJ14" s="11"/>
      <c r="AK14" s="12"/>
      <c r="AL14" s="13"/>
      <c r="AM14" s="10"/>
    </row>
    <row r="15" spans="1:43" ht="16" x14ac:dyDescent="0.2">
      <c r="A15" s="32"/>
      <c r="B15" s="32"/>
      <c r="C15" s="32" t="s">
        <v>14</v>
      </c>
      <c r="D15" s="32"/>
      <c r="E15" s="32"/>
      <c r="F15" s="32"/>
      <c r="G15" s="129"/>
      <c r="H15" s="146"/>
      <c r="I15" s="147"/>
      <c r="J15" s="147"/>
      <c r="K15" s="147">
        <v>18200</v>
      </c>
      <c r="L15" s="147">
        <v>15800</v>
      </c>
      <c r="M15" s="147"/>
      <c r="N15" s="147"/>
      <c r="O15" s="147"/>
      <c r="P15" s="147"/>
      <c r="Q15" s="147"/>
      <c r="R15" s="147"/>
      <c r="S15" s="257"/>
      <c r="T15" s="229">
        <f t="shared" si="4"/>
        <v>2916.6666666666665</v>
      </c>
      <c r="U15" s="147">
        <f t="shared" si="1"/>
        <v>13583.333333333336</v>
      </c>
      <c r="V15" s="147"/>
      <c r="W15" s="148">
        <f t="shared" si="0"/>
        <v>34000</v>
      </c>
      <c r="X15" s="48"/>
      <c r="Y15" s="197">
        <f t="shared" si="2"/>
        <v>0.97142857142857142</v>
      </c>
      <c r="Z15" s="48"/>
      <c r="AA15" s="178">
        <f t="shared" si="3"/>
        <v>20416.666666666664</v>
      </c>
      <c r="AB15" s="147"/>
      <c r="AC15" s="147">
        <v>35000</v>
      </c>
      <c r="AD15" s="72"/>
      <c r="AE15" s="72"/>
      <c r="AF15" s="49">
        <f t="shared" si="5"/>
        <v>-14583.333333333336</v>
      </c>
      <c r="AG15" s="50">
        <f>+AC15/12</f>
        <v>2916.6666666666665</v>
      </c>
      <c r="AH15" s="44"/>
      <c r="AI15" s="7" t="s">
        <v>15</v>
      </c>
      <c r="AJ15" s="7"/>
    </row>
    <row r="16" spans="1:43" ht="16" x14ac:dyDescent="0.2">
      <c r="A16" s="32"/>
      <c r="B16" s="32"/>
      <c r="C16" s="32" t="s">
        <v>16</v>
      </c>
      <c r="D16" s="32"/>
      <c r="E16" s="32"/>
      <c r="F16" s="32"/>
      <c r="G16" s="129"/>
      <c r="H16" s="146"/>
      <c r="I16" s="147"/>
      <c r="J16" s="147"/>
      <c r="K16" s="147"/>
      <c r="L16" s="147"/>
      <c r="M16" s="147"/>
      <c r="N16" s="147"/>
      <c r="O16" s="147"/>
      <c r="P16" s="147"/>
      <c r="Q16" s="147"/>
      <c r="R16" s="147"/>
      <c r="S16" s="257"/>
      <c r="T16" s="229">
        <f t="shared" si="4"/>
        <v>8.3333333333333339</v>
      </c>
      <c r="U16" s="147">
        <f t="shared" si="1"/>
        <v>-58.333333333333336</v>
      </c>
      <c r="V16" s="147"/>
      <c r="W16" s="148">
        <f t="shared" si="0"/>
        <v>0</v>
      </c>
      <c r="X16" s="48"/>
      <c r="Y16" s="197">
        <f t="shared" si="2"/>
        <v>0</v>
      </c>
      <c r="Z16" s="48"/>
      <c r="AA16" s="178">
        <f t="shared" si="3"/>
        <v>58.333333333333336</v>
      </c>
      <c r="AB16" s="147"/>
      <c r="AC16" s="147">
        <v>100</v>
      </c>
      <c r="AD16" s="72"/>
      <c r="AE16" s="72"/>
      <c r="AF16" s="49">
        <f t="shared" si="5"/>
        <v>-41.666666666666664</v>
      </c>
      <c r="AG16" s="50">
        <f>+AC16/12</f>
        <v>8.3333333333333339</v>
      </c>
      <c r="AH16" s="44"/>
      <c r="AI16" s="9"/>
      <c r="AJ16" t="s">
        <v>17</v>
      </c>
      <c r="AK16" s="10"/>
      <c r="AL16" s="10" t="s">
        <v>18</v>
      </c>
      <c r="AM16" s="10" t="s">
        <v>19</v>
      </c>
    </row>
    <row r="17" spans="1:40" ht="16" x14ac:dyDescent="0.2">
      <c r="A17" s="32"/>
      <c r="B17" s="32"/>
      <c r="C17" s="32" t="s">
        <v>20</v>
      </c>
      <c r="D17" s="32"/>
      <c r="E17" s="32"/>
      <c r="F17" s="32"/>
      <c r="G17" s="129"/>
      <c r="H17" s="146"/>
      <c r="I17" s="147"/>
      <c r="J17" s="147"/>
      <c r="K17" s="147"/>
      <c r="L17" s="147"/>
      <c r="M17" s="147"/>
      <c r="N17" s="147"/>
      <c r="O17" s="147"/>
      <c r="P17" s="147"/>
      <c r="Q17" s="147"/>
      <c r="R17" s="147"/>
      <c r="S17" s="257"/>
      <c r="T17" s="229">
        <f t="shared" si="4"/>
        <v>16.666666666666668</v>
      </c>
      <c r="U17" s="147">
        <f t="shared" si="1"/>
        <v>-116.66666666666667</v>
      </c>
      <c r="V17" s="147"/>
      <c r="W17" s="148">
        <f t="shared" si="0"/>
        <v>0</v>
      </c>
      <c r="X17" s="48"/>
      <c r="Y17" s="197">
        <f t="shared" si="2"/>
        <v>0</v>
      </c>
      <c r="Z17" s="48"/>
      <c r="AA17" s="178">
        <f t="shared" si="3"/>
        <v>116.66666666666667</v>
      </c>
      <c r="AB17" s="147"/>
      <c r="AC17" s="147">
        <v>200</v>
      </c>
      <c r="AD17" s="72"/>
      <c r="AE17" s="72"/>
      <c r="AF17" s="49">
        <f t="shared" si="5"/>
        <v>-83.333333333333329</v>
      </c>
      <c r="AG17" s="50">
        <f t="shared" si="6"/>
        <v>16.666666666666668</v>
      </c>
      <c r="AH17" s="44"/>
      <c r="AI17" t="s">
        <v>21</v>
      </c>
      <c r="AJ17" s="14">
        <v>200037.5</v>
      </c>
      <c r="AK17" s="10"/>
      <c r="AL17" s="10"/>
      <c r="AM17" s="10"/>
    </row>
    <row r="18" spans="1:40" ht="16" x14ac:dyDescent="0.2">
      <c r="A18" s="32"/>
      <c r="B18" s="32"/>
      <c r="C18" s="32" t="s">
        <v>22</v>
      </c>
      <c r="D18" s="32"/>
      <c r="E18" s="32"/>
      <c r="F18" s="32"/>
      <c r="G18" s="129"/>
      <c r="H18" s="146"/>
      <c r="I18" s="147"/>
      <c r="J18" s="147"/>
      <c r="K18" s="147"/>
      <c r="L18" s="147"/>
      <c r="M18" s="147"/>
      <c r="N18" s="147"/>
      <c r="O18" s="147"/>
      <c r="P18" s="147"/>
      <c r="Q18" s="147"/>
      <c r="R18" s="147"/>
      <c r="S18" s="257"/>
      <c r="T18" s="229"/>
      <c r="U18" s="147"/>
      <c r="V18" s="147"/>
      <c r="W18" s="148">
        <f t="shared" si="0"/>
        <v>0</v>
      </c>
      <c r="X18" s="48"/>
      <c r="Y18" s="197" t="e">
        <f t="shared" si="2"/>
        <v>#DIV/0!</v>
      </c>
      <c r="Z18" s="48"/>
      <c r="AA18" s="178">
        <f t="shared" si="3"/>
        <v>0</v>
      </c>
      <c r="AB18" s="147"/>
      <c r="AC18" s="147"/>
      <c r="AD18" s="72"/>
      <c r="AE18" s="72"/>
      <c r="AF18" s="49">
        <f t="shared" si="5"/>
        <v>0</v>
      </c>
      <c r="AG18" s="50">
        <f t="shared" si="6"/>
        <v>0</v>
      </c>
      <c r="AH18" s="44"/>
      <c r="AJ18" s="14"/>
      <c r="AN18" s="10"/>
    </row>
    <row r="19" spans="1:40" ht="16" x14ac:dyDescent="0.2">
      <c r="A19" s="32"/>
      <c r="B19" s="32"/>
      <c r="C19" s="32" t="s">
        <v>23</v>
      </c>
      <c r="D19" s="32"/>
      <c r="E19" s="32"/>
      <c r="F19" s="32"/>
      <c r="G19" s="129"/>
      <c r="H19" s="146">
        <v>18900</v>
      </c>
      <c r="I19" s="147">
        <v>13500</v>
      </c>
      <c r="J19" s="147">
        <v>11100</v>
      </c>
      <c r="K19" s="147">
        <v>17100</v>
      </c>
      <c r="L19" s="147">
        <v>12300</v>
      </c>
      <c r="M19" s="147">
        <v>7800</v>
      </c>
      <c r="N19" s="147">
        <v>11700</v>
      </c>
      <c r="O19" s="147"/>
      <c r="P19" s="147"/>
      <c r="Q19" s="147"/>
      <c r="R19" s="147"/>
      <c r="S19" s="257"/>
      <c r="T19" s="229">
        <f t="shared" si="4"/>
        <v>11666.666666666666</v>
      </c>
      <c r="U19" s="147">
        <f t="shared" si="1"/>
        <v>10733.333333333343</v>
      </c>
      <c r="V19" s="147"/>
      <c r="W19" s="148">
        <f t="shared" si="0"/>
        <v>92400</v>
      </c>
      <c r="X19" s="48"/>
      <c r="Y19" s="197">
        <f t="shared" si="2"/>
        <v>0.66</v>
      </c>
      <c r="Z19" s="48"/>
      <c r="AA19" s="178">
        <f t="shared" si="3"/>
        <v>81666.666666666657</v>
      </c>
      <c r="AB19" s="147"/>
      <c r="AC19" s="147">
        <v>140000</v>
      </c>
      <c r="AD19" s="72"/>
      <c r="AE19" s="72"/>
      <c r="AF19" s="49">
        <f t="shared" si="5"/>
        <v>-58333.333333333343</v>
      </c>
      <c r="AG19" s="50">
        <f t="shared" si="6"/>
        <v>11666.666666666666</v>
      </c>
      <c r="AH19" s="44"/>
      <c r="AI19" t="s">
        <v>24</v>
      </c>
      <c r="AJ19" s="14">
        <f>SUM(AJ17:AJ18)</f>
        <v>200037.5</v>
      </c>
      <c r="AL19" s="14">
        <v>183104</v>
      </c>
      <c r="AM19" s="14">
        <f>+AL19-AJ19</f>
        <v>-16933.5</v>
      </c>
    </row>
    <row r="20" spans="1:40" ht="16" x14ac:dyDescent="0.2">
      <c r="A20" s="32"/>
      <c r="B20" s="32"/>
      <c r="C20" s="93" t="s">
        <v>26</v>
      </c>
      <c r="D20" s="93"/>
      <c r="E20" s="93"/>
      <c r="F20" s="93"/>
      <c r="G20" s="130"/>
      <c r="H20" s="149"/>
      <c r="I20" s="150"/>
      <c r="J20" s="150"/>
      <c r="K20" s="150"/>
      <c r="L20" s="150"/>
      <c r="M20" s="150"/>
      <c r="N20" s="150"/>
      <c r="O20" s="150"/>
      <c r="P20" s="150"/>
      <c r="Q20" s="150"/>
      <c r="R20" s="150"/>
      <c r="S20" s="258"/>
      <c r="T20" s="230" t="s">
        <v>178</v>
      </c>
      <c r="U20" s="150" t="s">
        <v>178</v>
      </c>
      <c r="V20" s="150"/>
      <c r="W20" s="150"/>
      <c r="X20" s="94"/>
      <c r="Y20" s="94"/>
      <c r="Z20" s="94"/>
      <c r="AA20" s="150"/>
      <c r="AB20" s="150"/>
      <c r="AC20" s="150"/>
      <c r="AD20" s="102"/>
      <c r="AE20" s="102"/>
      <c r="AF20" s="49">
        <f t="shared" si="5"/>
        <v>0</v>
      </c>
      <c r="AG20" s="50">
        <f t="shared" si="6"/>
        <v>0</v>
      </c>
      <c r="AH20" s="44"/>
      <c r="AI20" t="s">
        <v>27</v>
      </c>
      <c r="AJ20" s="14">
        <v>0</v>
      </c>
      <c r="AL20" s="14">
        <v>833.37</v>
      </c>
      <c r="AM20" s="14">
        <f>+AL20-AJ20</f>
        <v>833.37</v>
      </c>
    </row>
    <row r="21" spans="1:40" ht="17" thickBot="1" x14ac:dyDescent="0.25">
      <c r="A21" s="32"/>
      <c r="B21" s="32"/>
      <c r="C21" s="32"/>
      <c r="D21" s="32" t="s">
        <v>28</v>
      </c>
      <c r="E21" s="32"/>
      <c r="F21" s="32"/>
      <c r="G21" s="129"/>
      <c r="H21" s="146">
        <v>212.83</v>
      </c>
      <c r="I21" s="147">
        <v>449.95</v>
      </c>
      <c r="J21" s="147">
        <v>796.37</v>
      </c>
      <c r="K21" s="147">
        <v>1072.67</v>
      </c>
      <c r="L21" s="147">
        <v>404.04</v>
      </c>
      <c r="M21" s="147">
        <v>638.46</v>
      </c>
      <c r="N21" s="147">
        <v>1006.49</v>
      </c>
      <c r="O21" s="147"/>
      <c r="P21" s="147"/>
      <c r="Q21" s="147"/>
      <c r="R21" s="147"/>
      <c r="S21" s="257"/>
      <c r="T21" s="229">
        <f t="shared" si="4"/>
        <v>18.75</v>
      </c>
      <c r="U21" s="147">
        <f t="shared" si="1"/>
        <v>4449.5600000000004</v>
      </c>
      <c r="V21" s="147"/>
      <c r="W21" s="148">
        <f t="shared" ref="W21:W26" si="7">SUM(H21:S21)</f>
        <v>4580.8100000000004</v>
      </c>
      <c r="X21" s="48"/>
      <c r="Y21" s="197">
        <f t="shared" si="2"/>
        <v>20.359155555555557</v>
      </c>
      <c r="Z21" s="48"/>
      <c r="AA21" s="178">
        <f t="shared" si="3"/>
        <v>131.25</v>
      </c>
      <c r="AB21" s="147"/>
      <c r="AC21" s="147">
        <v>225</v>
      </c>
      <c r="AD21" s="72"/>
      <c r="AE21" s="72"/>
      <c r="AF21" s="49">
        <f t="shared" si="5"/>
        <v>-93.75</v>
      </c>
      <c r="AG21" s="50">
        <f t="shared" si="6"/>
        <v>18.75</v>
      </c>
      <c r="AH21" s="44"/>
      <c r="AI21" s="6" t="s">
        <v>29</v>
      </c>
      <c r="AJ21" s="15">
        <v>0</v>
      </c>
      <c r="AK21" s="6"/>
      <c r="AL21" s="15">
        <v>417</v>
      </c>
      <c r="AM21" s="15">
        <f>+AL21-AJ21</f>
        <v>417</v>
      </c>
    </row>
    <row r="22" spans="1:40" ht="16" x14ac:dyDescent="0.2">
      <c r="A22" s="32"/>
      <c r="B22" s="32"/>
      <c r="C22" s="32"/>
      <c r="D22" s="32" t="s">
        <v>30</v>
      </c>
      <c r="E22" s="32"/>
      <c r="F22" s="32"/>
      <c r="G22" s="129"/>
      <c r="H22" s="146">
        <v>5593.33</v>
      </c>
      <c r="I22" s="147">
        <v>8456.56</v>
      </c>
      <c r="J22" s="147">
        <v>8651.26</v>
      </c>
      <c r="K22" s="147">
        <v>12603.61</v>
      </c>
      <c r="L22" s="147">
        <v>13254.42</v>
      </c>
      <c r="M22" s="147">
        <f>12840.48+170.26</f>
        <v>13010.74</v>
      </c>
      <c r="N22" s="147">
        <v>13593.3</v>
      </c>
      <c r="O22" s="147"/>
      <c r="P22" s="147"/>
      <c r="Q22" s="147"/>
      <c r="R22" s="147"/>
      <c r="S22" s="257"/>
      <c r="T22" s="229">
        <f t="shared" si="4"/>
        <v>208.33333333333334</v>
      </c>
      <c r="U22" s="147">
        <f t="shared" si="1"/>
        <v>73704.886666666673</v>
      </c>
      <c r="V22" s="147"/>
      <c r="W22" s="148">
        <f t="shared" si="7"/>
        <v>75163.22</v>
      </c>
      <c r="X22" s="48"/>
      <c r="Y22" s="197">
        <f t="shared" si="2"/>
        <v>30.065287999999999</v>
      </c>
      <c r="Z22" s="48"/>
      <c r="AA22" s="178">
        <f t="shared" si="3"/>
        <v>1458.3333333333335</v>
      </c>
      <c r="AB22" s="147"/>
      <c r="AC22" s="147">
        <v>2500</v>
      </c>
      <c r="AD22" s="72"/>
      <c r="AE22" s="72"/>
      <c r="AF22" s="49">
        <f t="shared" si="5"/>
        <v>-1041.6666666666665</v>
      </c>
      <c r="AG22" s="50">
        <f t="shared" si="6"/>
        <v>208.33333333333334</v>
      </c>
      <c r="AH22" s="44"/>
      <c r="AI22" s="7" t="s">
        <v>31</v>
      </c>
      <c r="AJ22" s="7"/>
      <c r="AK22" s="7"/>
      <c r="AL22" s="16"/>
      <c r="AM22" s="16">
        <f>SUM(AM19:AM21)</f>
        <v>-15683.13</v>
      </c>
    </row>
    <row r="23" spans="1:40" ht="16" x14ac:dyDescent="0.2">
      <c r="A23" s="32"/>
      <c r="B23" s="32"/>
      <c r="C23" s="105" t="s">
        <v>33</v>
      </c>
      <c r="D23" s="105"/>
      <c r="E23" s="105"/>
      <c r="F23" s="105"/>
      <c r="G23" s="131"/>
      <c r="H23" s="151">
        <f>SUM(H21:H22)</f>
        <v>5806.16</v>
      </c>
      <c r="I23" s="152">
        <f t="shared" ref="I23:O23" si="8">I21+I22</f>
        <v>8906.51</v>
      </c>
      <c r="J23" s="152">
        <f t="shared" si="8"/>
        <v>9447.630000000001</v>
      </c>
      <c r="K23" s="152">
        <f t="shared" si="8"/>
        <v>13676.28</v>
      </c>
      <c r="L23" s="152">
        <f t="shared" si="8"/>
        <v>13658.460000000001</v>
      </c>
      <c r="M23" s="152">
        <f t="shared" si="8"/>
        <v>13649.2</v>
      </c>
      <c r="N23" s="152">
        <f>N21+N22</f>
        <v>14599.789999999999</v>
      </c>
      <c r="O23" s="152">
        <f t="shared" si="8"/>
        <v>0</v>
      </c>
      <c r="P23" s="152">
        <f>P22+P21</f>
        <v>0</v>
      </c>
      <c r="Q23" s="152">
        <f>Q21+Q22</f>
        <v>0</v>
      </c>
      <c r="R23" s="152">
        <f>R21+R22</f>
        <v>0</v>
      </c>
      <c r="S23" s="259">
        <f>S21+S22</f>
        <v>0</v>
      </c>
      <c r="T23" s="231">
        <f t="shared" si="4"/>
        <v>227.08333333333334</v>
      </c>
      <c r="U23" s="152">
        <f t="shared" si="1"/>
        <v>78154.44666666667</v>
      </c>
      <c r="V23" s="152"/>
      <c r="W23" s="148">
        <f t="shared" si="7"/>
        <v>79744.03</v>
      </c>
      <c r="X23" s="103"/>
      <c r="Y23" s="200">
        <f t="shared" si="2"/>
        <v>29.263864220183486</v>
      </c>
      <c r="Z23" s="103"/>
      <c r="AA23" s="152">
        <f>SUM(AA20:AA22)</f>
        <v>1589.5833333333335</v>
      </c>
      <c r="AB23" s="152"/>
      <c r="AC23" s="152">
        <f>SUM(AC20:AC22)</f>
        <v>2725</v>
      </c>
      <c r="AD23" s="103">
        <f>SUM(AD20:AD22)</f>
        <v>0</v>
      </c>
      <c r="AE23" s="103"/>
      <c r="AF23" s="49">
        <f t="shared" si="5"/>
        <v>-1135.4166666666665</v>
      </c>
      <c r="AG23" s="45"/>
      <c r="AH23" s="44"/>
      <c r="AL23" s="14" t="s">
        <v>34</v>
      </c>
      <c r="AM23" s="14" t="e">
        <f>+#REF!+AM22</f>
        <v>#REF!</v>
      </c>
    </row>
    <row r="24" spans="1:40" ht="15.75" customHeight="1" thickBot="1" x14ac:dyDescent="0.25">
      <c r="A24" s="32"/>
      <c r="B24" s="32"/>
      <c r="C24" s="32" t="s">
        <v>35</v>
      </c>
      <c r="D24" s="32"/>
      <c r="E24" s="32"/>
      <c r="F24" s="32"/>
      <c r="G24" s="129"/>
      <c r="H24" s="153">
        <v>5</v>
      </c>
      <c r="I24" s="154">
        <v>0</v>
      </c>
      <c r="J24" s="154">
        <v>12</v>
      </c>
      <c r="K24" s="154">
        <v>27</v>
      </c>
      <c r="L24" s="154">
        <v>859.64</v>
      </c>
      <c r="M24" s="154"/>
      <c r="N24" s="154"/>
      <c r="O24" s="154"/>
      <c r="P24" s="154"/>
      <c r="Q24" s="154"/>
      <c r="R24" s="154"/>
      <c r="S24" s="260"/>
      <c r="T24" s="232">
        <f t="shared" si="4"/>
        <v>4.166666666666667</v>
      </c>
      <c r="U24" s="152">
        <f t="shared" si="1"/>
        <v>874.47333333333336</v>
      </c>
      <c r="V24" s="154"/>
      <c r="W24" s="148">
        <f t="shared" si="7"/>
        <v>903.64</v>
      </c>
      <c r="X24" s="51"/>
      <c r="Y24" s="198">
        <f t="shared" si="2"/>
        <v>18.072800000000001</v>
      </c>
      <c r="Z24" s="51"/>
      <c r="AA24" s="179">
        <f>AC24/12*$AI$5</f>
        <v>29.166666666666668</v>
      </c>
      <c r="AB24" s="154"/>
      <c r="AC24" s="154">
        <v>50</v>
      </c>
      <c r="AD24" s="51">
        <v>300</v>
      </c>
      <c r="AE24" s="51"/>
      <c r="AF24" s="49">
        <f t="shared" si="5"/>
        <v>-20.833333333333332</v>
      </c>
      <c r="AG24" s="50">
        <f>+AC24/12</f>
        <v>4.166666666666667</v>
      </c>
      <c r="AH24" s="44"/>
    </row>
    <row r="25" spans="1:40" ht="15.75" customHeight="1" thickBot="1" x14ac:dyDescent="0.25">
      <c r="A25" s="32"/>
      <c r="B25" s="32"/>
      <c r="C25" s="32" t="s">
        <v>246</v>
      </c>
      <c r="D25" s="32"/>
      <c r="E25" s="32" t="s">
        <v>215</v>
      </c>
      <c r="F25" s="32"/>
      <c r="G25" s="129"/>
      <c r="H25" s="153">
        <v>0</v>
      </c>
      <c r="I25" s="154"/>
      <c r="J25" s="154">
        <v>0</v>
      </c>
      <c r="K25" s="154">
        <v>0</v>
      </c>
      <c r="L25" s="154">
        <v>-36.06</v>
      </c>
      <c r="M25" s="154">
        <v>940.66</v>
      </c>
      <c r="N25" s="154">
        <v>-1740.48</v>
      </c>
      <c r="O25" s="154">
        <v>0</v>
      </c>
      <c r="P25" s="154">
        <v>0</v>
      </c>
      <c r="Q25" s="154">
        <v>0</v>
      </c>
      <c r="R25" s="154">
        <v>0</v>
      </c>
      <c r="S25" s="260">
        <v>0</v>
      </c>
      <c r="T25" s="232"/>
      <c r="U25" s="154"/>
      <c r="V25" s="154"/>
      <c r="W25" s="148">
        <f t="shared" si="7"/>
        <v>-835.88000000000011</v>
      </c>
      <c r="X25" s="51"/>
      <c r="Y25" s="198"/>
      <c r="Z25" s="51"/>
      <c r="AA25" s="179"/>
      <c r="AB25" s="154"/>
      <c r="AC25" s="154"/>
      <c r="AD25" s="51"/>
      <c r="AE25" s="51"/>
      <c r="AF25" s="49"/>
      <c r="AG25" s="50"/>
      <c r="AH25" s="44"/>
    </row>
    <row r="26" spans="1:40" ht="17" thickBot="1" x14ac:dyDescent="0.25">
      <c r="A26" s="32"/>
      <c r="B26" s="104" t="s">
        <v>36</v>
      </c>
      <c r="C26" s="104"/>
      <c r="D26" s="104"/>
      <c r="E26" s="104"/>
      <c r="F26" s="104"/>
      <c r="G26" s="132"/>
      <c r="H26" s="153">
        <f>SUM(H9:H19)+SUM(H23:H24)</f>
        <v>331819.69</v>
      </c>
      <c r="I26" s="154">
        <f>SUM(I9:I19)+SUM(I23:I24)</f>
        <v>330249.18000000005</v>
      </c>
      <c r="J26" s="154">
        <f>SUM(J9:J19)+SUM(J23:J24)</f>
        <v>326533.84000000003</v>
      </c>
      <c r="K26" s="154">
        <f>SUM(K9:K19)+SUM(K23:K23:K24)</f>
        <v>356033.19</v>
      </c>
      <c r="L26" s="154">
        <f>SUM(L9:L19)+SUM(L23:L23:L24)+L25</f>
        <v>348484.48</v>
      </c>
      <c r="M26" s="154">
        <f>SUM(M9:M19)+SUM(M23:M23:M24)+M25</f>
        <v>326546.26999999996</v>
      </c>
      <c r="N26" s="154">
        <f>SUM(N9:N19)+SUM(N23:N23:N24)+N25</f>
        <v>326967.87</v>
      </c>
      <c r="O26" s="154">
        <f>SUM(O9:O19)+SUM(O23:O23:O24)+O25</f>
        <v>0</v>
      </c>
      <c r="P26" s="154">
        <f>SUM(P9:P19)+SUM(P23:P23:P24)+P25</f>
        <v>0</v>
      </c>
      <c r="Q26" s="154">
        <f>SUM(Q9:Q19)+SUM(Q23:Q23:Q24)+Q25</f>
        <v>0</v>
      </c>
      <c r="R26" s="154">
        <f>SUM(R9:R19)+SUM(R23:R23:R24)+R25</f>
        <v>0</v>
      </c>
      <c r="S26" s="154">
        <f>SUM(S9:S19)+SUM(S23:S23:S24)+S25</f>
        <v>0</v>
      </c>
      <c r="T26" s="233">
        <f>AC26/12</f>
        <v>312972.91666666669</v>
      </c>
      <c r="U26" s="155">
        <f t="shared" si="1"/>
        <v>155824.10333333351</v>
      </c>
      <c r="V26" s="155"/>
      <c r="W26" s="156">
        <f t="shared" si="7"/>
        <v>2346634.52</v>
      </c>
      <c r="X26" s="51"/>
      <c r="Y26" s="199">
        <f t="shared" si="2"/>
        <v>0.62482363889314174</v>
      </c>
      <c r="Z26" s="51"/>
      <c r="AA26" s="179">
        <f>SUM(AA9:AA19)+SUM(AA23:AA23:AA24)</f>
        <v>2190810.4166666665</v>
      </c>
      <c r="AB26" s="154"/>
      <c r="AC26" s="154">
        <f>SUM(AC9:AC19)+SUM(AC23:AC24)</f>
        <v>3755675</v>
      </c>
      <c r="AD26" s="51">
        <f>SUM(AD9:AD19)+SUM(AD23:AD23:AD24)</f>
        <v>300</v>
      </c>
      <c r="AE26" s="51"/>
      <c r="AF26" s="49">
        <f t="shared" si="5"/>
        <v>-1564864.5833333335</v>
      </c>
      <c r="AG26" s="54"/>
      <c r="AH26" s="25"/>
      <c r="AI26" s="7" t="s">
        <v>37</v>
      </c>
      <c r="AJ26" s="16"/>
    </row>
    <row r="27" spans="1:40" ht="29" customHeight="1" x14ac:dyDescent="0.2">
      <c r="A27" s="32"/>
      <c r="B27" s="32" t="s">
        <v>38</v>
      </c>
      <c r="C27" s="32"/>
      <c r="D27" s="32"/>
      <c r="E27" s="32"/>
      <c r="F27" s="32"/>
      <c r="G27" s="129"/>
      <c r="H27" s="143"/>
      <c r="I27" s="48"/>
      <c r="J27" s="48"/>
      <c r="K27" s="48"/>
      <c r="L27" s="48"/>
      <c r="M27" s="48"/>
      <c r="N27" s="48"/>
      <c r="O27" s="48"/>
      <c r="P27" s="48"/>
      <c r="Q27" s="48"/>
      <c r="R27" s="48"/>
      <c r="S27" s="261"/>
      <c r="T27" s="234"/>
      <c r="U27" s="48"/>
      <c r="V27" s="48"/>
      <c r="W27" s="48"/>
      <c r="X27" s="48"/>
      <c r="Y27" s="48"/>
      <c r="Z27" s="48"/>
      <c r="AA27" s="48"/>
      <c r="AB27" s="48"/>
      <c r="AC27" s="48"/>
      <c r="AD27" s="72"/>
      <c r="AE27" s="72"/>
      <c r="AF27" s="49">
        <f t="shared" si="5"/>
        <v>0</v>
      </c>
      <c r="AG27" s="50"/>
      <c r="AH27" s="25"/>
      <c r="AI27" s="9"/>
      <c r="AJ27" t="s">
        <v>17</v>
      </c>
      <c r="AK27" s="10"/>
      <c r="AL27" s="10" t="s">
        <v>18</v>
      </c>
      <c r="AM27" s="10" t="s">
        <v>19</v>
      </c>
    </row>
    <row r="28" spans="1:40" ht="16" x14ac:dyDescent="0.2">
      <c r="A28" s="32"/>
      <c r="B28" s="32"/>
      <c r="C28" s="32" t="s">
        <v>39</v>
      </c>
      <c r="D28" s="32"/>
      <c r="E28" s="32"/>
      <c r="F28" s="32"/>
      <c r="G28" s="129"/>
      <c r="H28" s="146">
        <v>1680</v>
      </c>
      <c r="I28" s="147">
        <v>1275</v>
      </c>
      <c r="J28" s="147">
        <v>1285</v>
      </c>
      <c r="K28" s="147">
        <v>2022.5</v>
      </c>
      <c r="L28" s="147">
        <v>1047.5</v>
      </c>
      <c r="M28" s="147">
        <v>1540</v>
      </c>
      <c r="N28" s="147">
        <v>855</v>
      </c>
      <c r="O28" s="147"/>
      <c r="P28" s="147"/>
      <c r="Q28" s="147"/>
      <c r="R28" s="147"/>
      <c r="S28" s="257"/>
      <c r="T28" s="229">
        <f>AC28/12</f>
        <v>833.33333333333337</v>
      </c>
      <c r="U28" s="147">
        <f t="shared" si="1"/>
        <v>3871.6666666666661</v>
      </c>
      <c r="V28" s="147"/>
      <c r="W28" s="148">
        <f t="shared" ref="W28:W45" si="9">SUM(H28:S28)</f>
        <v>9705</v>
      </c>
      <c r="X28" s="48"/>
      <c r="Y28" s="197">
        <f t="shared" si="2"/>
        <v>0.97050000000000003</v>
      </c>
      <c r="Z28" s="48"/>
      <c r="AA28" s="178">
        <f t="shared" ref="AA28:AA43" si="10">AC28/12*$AI$5</f>
        <v>5833.3333333333339</v>
      </c>
      <c r="AB28" s="147"/>
      <c r="AC28" s="147">
        <v>10000</v>
      </c>
      <c r="AD28" s="72"/>
      <c r="AE28" s="72"/>
      <c r="AF28" s="49">
        <f t="shared" si="5"/>
        <v>-4166.6666666666661</v>
      </c>
      <c r="AG28" s="50">
        <f t="shared" ref="AG28:AG43" si="11">+AC28/12</f>
        <v>833.33333333333337</v>
      </c>
      <c r="AH28" s="25"/>
      <c r="AI28" t="s">
        <v>21</v>
      </c>
      <c r="AJ28" s="14">
        <v>2401437.5</v>
      </c>
      <c r="AK28" s="10"/>
      <c r="AL28" s="10"/>
      <c r="AM28" s="10"/>
    </row>
    <row r="29" spans="1:40" ht="16" x14ac:dyDescent="0.2">
      <c r="A29" s="32"/>
      <c r="B29" s="32"/>
      <c r="C29" s="32" t="s">
        <v>40</v>
      </c>
      <c r="D29" s="32"/>
      <c r="E29" s="32"/>
      <c r="F29" s="32"/>
      <c r="G29" s="129"/>
      <c r="H29" s="146">
        <v>120</v>
      </c>
      <c r="I29" s="147"/>
      <c r="J29" s="147"/>
      <c r="K29" s="147"/>
      <c r="L29" s="147"/>
      <c r="M29" s="147"/>
      <c r="N29" s="147"/>
      <c r="O29" s="147"/>
      <c r="P29" s="147"/>
      <c r="Q29" s="147"/>
      <c r="R29" s="147"/>
      <c r="S29" s="257"/>
      <c r="T29" s="229">
        <f>AC29/12</f>
        <v>8.3333333333333339</v>
      </c>
      <c r="U29" s="147">
        <f t="shared" si="1"/>
        <v>61.666666666666664</v>
      </c>
      <c r="V29" s="147"/>
      <c r="W29" s="148">
        <f t="shared" si="9"/>
        <v>120</v>
      </c>
      <c r="X29" s="48"/>
      <c r="Y29" s="197">
        <f t="shared" si="2"/>
        <v>1.2</v>
      </c>
      <c r="Z29" s="48"/>
      <c r="AA29" s="178">
        <f t="shared" si="10"/>
        <v>58.333333333333336</v>
      </c>
      <c r="AB29" s="147"/>
      <c r="AC29" s="147">
        <v>100</v>
      </c>
      <c r="AD29" s="72"/>
      <c r="AE29" s="72"/>
      <c r="AF29" s="49">
        <f t="shared" si="5"/>
        <v>-41.666666666666664</v>
      </c>
      <c r="AG29" s="50">
        <f t="shared" si="11"/>
        <v>8.3333333333333339</v>
      </c>
      <c r="AH29" s="25"/>
      <c r="AJ29" s="14">
        <v>-6306.08</v>
      </c>
    </row>
    <row r="30" spans="1:40" ht="16" x14ac:dyDescent="0.2">
      <c r="A30" s="32"/>
      <c r="B30" s="32"/>
      <c r="C30" s="32" t="s">
        <v>41</v>
      </c>
      <c r="D30" s="32"/>
      <c r="E30" s="32"/>
      <c r="F30" s="32"/>
      <c r="G30" s="129"/>
      <c r="H30" s="146">
        <v>1230</v>
      </c>
      <c r="I30" s="147">
        <v>600</v>
      </c>
      <c r="J30" s="147">
        <v>655</v>
      </c>
      <c r="K30" s="147"/>
      <c r="L30" s="147">
        <v>2412.5</v>
      </c>
      <c r="M30" s="147">
        <v>650</v>
      </c>
      <c r="N30" s="147">
        <v>1357.5</v>
      </c>
      <c r="O30" s="147"/>
      <c r="P30" s="147"/>
      <c r="Q30" s="147"/>
      <c r="R30" s="147"/>
      <c r="S30" s="257"/>
      <c r="T30" s="229">
        <f>AC30/12</f>
        <v>208.33333333333334</v>
      </c>
      <c r="U30" s="147">
        <f t="shared" si="1"/>
        <v>5446.6666666666661</v>
      </c>
      <c r="V30" s="147"/>
      <c r="W30" s="148">
        <f t="shared" si="9"/>
        <v>6905</v>
      </c>
      <c r="X30" s="48"/>
      <c r="Y30" s="197">
        <f t="shared" si="2"/>
        <v>2.762</v>
      </c>
      <c r="Z30" s="48"/>
      <c r="AA30" s="178">
        <f t="shared" si="10"/>
        <v>1458.3333333333335</v>
      </c>
      <c r="AB30" s="147"/>
      <c r="AC30" s="147">
        <v>2500</v>
      </c>
      <c r="AD30" s="72"/>
      <c r="AE30" s="72"/>
      <c r="AF30" s="49">
        <f t="shared" si="5"/>
        <v>-1041.6666666666665</v>
      </c>
      <c r="AG30" s="50">
        <f t="shared" si="11"/>
        <v>208.33333333333334</v>
      </c>
      <c r="AH30" s="25"/>
      <c r="AI30" t="s">
        <v>42</v>
      </c>
      <c r="AJ30" s="14">
        <v>-200.33</v>
      </c>
    </row>
    <row r="31" spans="1:40" ht="16" x14ac:dyDescent="0.2">
      <c r="A31" s="32"/>
      <c r="B31" s="32"/>
      <c r="C31" s="32" t="s">
        <v>43</v>
      </c>
      <c r="D31" s="32"/>
      <c r="E31" s="32"/>
      <c r="F31" s="32"/>
      <c r="G31" s="129"/>
      <c r="H31" s="146">
        <v>175</v>
      </c>
      <c r="I31" s="147">
        <v>250</v>
      </c>
      <c r="J31" s="147">
        <v>100</v>
      </c>
      <c r="K31" s="147">
        <v>115</v>
      </c>
      <c r="L31" s="147">
        <v>850</v>
      </c>
      <c r="M31" s="147">
        <v>175</v>
      </c>
      <c r="N31" s="147">
        <v>185</v>
      </c>
      <c r="O31" s="147"/>
      <c r="P31" s="147"/>
      <c r="Q31" s="147"/>
      <c r="R31" s="147"/>
      <c r="S31" s="257"/>
      <c r="T31" s="229">
        <f>AC31/12</f>
        <v>500</v>
      </c>
      <c r="U31" s="147">
        <f t="shared" si="1"/>
        <v>-1650</v>
      </c>
      <c r="V31" s="147"/>
      <c r="W31" s="148">
        <f t="shared" si="9"/>
        <v>1850</v>
      </c>
      <c r="X31" s="48"/>
      <c r="Y31" s="197">
        <f t="shared" si="2"/>
        <v>0.30833333333333335</v>
      </c>
      <c r="Z31" s="48"/>
      <c r="AA31" s="178">
        <f t="shared" si="10"/>
        <v>3500</v>
      </c>
      <c r="AB31" s="147"/>
      <c r="AC31" s="147">
        <v>6000</v>
      </c>
      <c r="AD31" s="72"/>
      <c r="AE31" s="72"/>
      <c r="AF31" s="49">
        <f t="shared" si="5"/>
        <v>-2500</v>
      </c>
      <c r="AG31" s="50">
        <f t="shared" si="11"/>
        <v>500</v>
      </c>
      <c r="AH31" s="25"/>
      <c r="AI31" t="s">
        <v>24</v>
      </c>
      <c r="AJ31" s="14">
        <f>SUM(AJ28:AJ30)</f>
        <v>2394931.09</v>
      </c>
      <c r="AL31" s="14">
        <v>2197250</v>
      </c>
      <c r="AM31" s="14">
        <f>+AL31-AJ31</f>
        <v>-197681.08999999985</v>
      </c>
      <c r="AN31" s="10"/>
    </row>
    <row r="32" spans="1:40" ht="15.75" customHeight="1" x14ac:dyDescent="0.2">
      <c r="A32" s="32"/>
      <c r="B32" s="32"/>
      <c r="C32" s="32" t="s">
        <v>44</v>
      </c>
      <c r="D32" s="32"/>
      <c r="E32" s="32"/>
      <c r="F32" s="32"/>
      <c r="G32" s="129"/>
      <c r="H32" s="146"/>
      <c r="I32" s="147"/>
      <c r="J32" s="147"/>
      <c r="K32" s="147"/>
      <c r="L32" s="147"/>
      <c r="M32" s="147"/>
      <c r="N32" s="147"/>
      <c r="O32" s="147"/>
      <c r="P32" s="147"/>
      <c r="Q32" s="147"/>
      <c r="R32" s="147"/>
      <c r="S32" s="257"/>
      <c r="T32" s="229">
        <f>AC32/12</f>
        <v>8.3333333333333339</v>
      </c>
      <c r="U32" s="147">
        <f t="shared" si="1"/>
        <v>-58.333333333333336</v>
      </c>
      <c r="V32" s="147"/>
      <c r="W32" s="148">
        <f t="shared" si="9"/>
        <v>0</v>
      </c>
      <c r="X32" s="48"/>
      <c r="Y32" s="197">
        <f t="shared" si="2"/>
        <v>0</v>
      </c>
      <c r="Z32" s="48"/>
      <c r="AA32" s="178">
        <f t="shared" si="10"/>
        <v>58.333333333333336</v>
      </c>
      <c r="AB32" s="147"/>
      <c r="AC32" s="147">
        <v>100</v>
      </c>
      <c r="AD32" s="72"/>
      <c r="AE32" s="72"/>
      <c r="AF32" s="49">
        <f t="shared" si="5"/>
        <v>-41.666666666666664</v>
      </c>
      <c r="AG32" s="50">
        <f t="shared" si="11"/>
        <v>8.3333333333333339</v>
      </c>
      <c r="AH32" s="25"/>
      <c r="AI32" t="s">
        <v>25</v>
      </c>
      <c r="AJ32" s="14">
        <v>135934.09</v>
      </c>
      <c r="AL32" s="14">
        <v>75000</v>
      </c>
      <c r="AM32" s="14">
        <f>+AL32-AJ32</f>
        <v>-60934.09</v>
      </c>
    </row>
    <row r="33" spans="1:39" ht="12.75" hidden="1" customHeight="1" x14ac:dyDescent="0.2">
      <c r="A33" s="32"/>
      <c r="B33" s="32"/>
      <c r="C33" s="32" t="s">
        <v>45</v>
      </c>
      <c r="D33" s="32"/>
      <c r="E33" s="32"/>
      <c r="F33" s="32"/>
      <c r="G33" s="129"/>
      <c r="H33" s="146"/>
      <c r="I33" s="147"/>
      <c r="J33" s="147"/>
      <c r="K33" s="147"/>
      <c r="L33" s="147"/>
      <c r="M33" s="147"/>
      <c r="N33" s="147"/>
      <c r="O33" s="147"/>
      <c r="P33" s="147"/>
      <c r="Q33" s="147"/>
      <c r="R33" s="147"/>
      <c r="S33" s="257"/>
      <c r="T33" s="229"/>
      <c r="U33" s="147">
        <f t="shared" si="1"/>
        <v>0</v>
      </c>
      <c r="V33" s="147"/>
      <c r="W33" s="148">
        <f t="shared" si="9"/>
        <v>0</v>
      </c>
      <c r="X33" s="48"/>
      <c r="Y33" s="197" t="e">
        <f t="shared" si="2"/>
        <v>#DIV/0!</v>
      </c>
      <c r="Z33" s="48"/>
      <c r="AA33" s="178">
        <f t="shared" si="10"/>
        <v>0</v>
      </c>
      <c r="AB33" s="147"/>
      <c r="AC33" s="147">
        <v>0</v>
      </c>
      <c r="AD33" s="72"/>
      <c r="AE33" s="72"/>
      <c r="AF33" s="49">
        <f t="shared" si="5"/>
        <v>0</v>
      </c>
      <c r="AG33" s="50">
        <f t="shared" si="11"/>
        <v>0</v>
      </c>
      <c r="AH33" s="25"/>
      <c r="AI33" t="s">
        <v>27</v>
      </c>
      <c r="AJ33" s="14">
        <v>26550</v>
      </c>
      <c r="AL33" s="14">
        <v>10000</v>
      </c>
      <c r="AM33" s="14">
        <f>+AL33-AJ33</f>
        <v>-16550</v>
      </c>
    </row>
    <row r="34" spans="1:39" ht="15.75" customHeight="1" thickBot="1" x14ac:dyDescent="0.25">
      <c r="A34" s="32"/>
      <c r="B34" s="32"/>
      <c r="C34" s="32" t="s">
        <v>46</v>
      </c>
      <c r="D34" s="32"/>
      <c r="E34" s="32"/>
      <c r="F34" s="32"/>
      <c r="G34" s="129"/>
      <c r="H34" s="146"/>
      <c r="I34" s="147"/>
      <c r="J34" s="147"/>
      <c r="K34" s="147"/>
      <c r="L34" s="147"/>
      <c r="M34" s="147"/>
      <c r="N34" s="147"/>
      <c r="O34" s="147"/>
      <c r="P34" s="147"/>
      <c r="Q34" s="147"/>
      <c r="R34" s="147"/>
      <c r="S34" s="257"/>
      <c r="T34" s="229">
        <f>AC34/12</f>
        <v>20</v>
      </c>
      <c r="U34" s="147">
        <f t="shared" si="1"/>
        <v>-140</v>
      </c>
      <c r="V34" s="147"/>
      <c r="W34" s="148">
        <f t="shared" si="9"/>
        <v>0</v>
      </c>
      <c r="X34" s="48"/>
      <c r="Y34" s="197">
        <f t="shared" si="2"/>
        <v>0</v>
      </c>
      <c r="Z34" s="48"/>
      <c r="AA34" s="178">
        <f t="shared" si="10"/>
        <v>140</v>
      </c>
      <c r="AB34" s="147"/>
      <c r="AC34" s="147">
        <v>240</v>
      </c>
      <c r="AD34" s="72"/>
      <c r="AE34" s="72"/>
      <c r="AF34" s="49">
        <f t="shared" si="5"/>
        <v>-100</v>
      </c>
      <c r="AG34" s="50">
        <f t="shared" si="11"/>
        <v>20</v>
      </c>
      <c r="AH34" s="25"/>
      <c r="AI34" s="6" t="s">
        <v>29</v>
      </c>
      <c r="AJ34" s="15">
        <v>15573</v>
      </c>
      <c r="AK34" s="6"/>
      <c r="AL34" s="15">
        <v>5000</v>
      </c>
      <c r="AM34" s="15">
        <f>+AL34-AJ34</f>
        <v>-10573</v>
      </c>
    </row>
    <row r="35" spans="1:39" ht="16" x14ac:dyDescent="0.2">
      <c r="A35" s="32"/>
      <c r="B35" s="32"/>
      <c r="C35" s="32" t="s">
        <v>47</v>
      </c>
      <c r="D35" s="32"/>
      <c r="E35" s="32"/>
      <c r="F35" s="32"/>
      <c r="G35" s="129"/>
      <c r="H35" s="146"/>
      <c r="I35" s="147"/>
      <c r="J35" s="147"/>
      <c r="K35" s="147"/>
      <c r="L35" s="147"/>
      <c r="M35" s="147"/>
      <c r="N35" s="147"/>
      <c r="O35" s="147"/>
      <c r="P35" s="147"/>
      <c r="Q35" s="147"/>
      <c r="R35" s="147"/>
      <c r="S35" s="257"/>
      <c r="T35" s="229">
        <f>AC35/12</f>
        <v>1.6666666666666667</v>
      </c>
      <c r="U35" s="147">
        <f t="shared" si="1"/>
        <v>-11.666666666666668</v>
      </c>
      <c r="V35" s="147"/>
      <c r="W35" s="148">
        <f t="shared" si="9"/>
        <v>0</v>
      </c>
      <c r="X35" s="48"/>
      <c r="Y35" s="197">
        <f t="shared" si="2"/>
        <v>0</v>
      </c>
      <c r="Z35" s="48"/>
      <c r="AA35" s="178">
        <f t="shared" si="10"/>
        <v>11.666666666666668</v>
      </c>
      <c r="AB35" s="147"/>
      <c r="AC35" s="147">
        <v>20</v>
      </c>
      <c r="AD35" s="72"/>
      <c r="AE35" s="72"/>
      <c r="AF35" s="49">
        <f t="shared" si="5"/>
        <v>-8.3333333333333321</v>
      </c>
      <c r="AG35" s="50">
        <f t="shared" si="11"/>
        <v>1.6666666666666667</v>
      </c>
      <c r="AH35" s="25"/>
      <c r="AI35" s="7" t="s">
        <v>31</v>
      </c>
      <c r="AJ35" s="7"/>
      <c r="AK35" s="7"/>
      <c r="AL35" s="16"/>
      <c r="AM35" s="16">
        <f>SUM(AM31:AM34)</f>
        <v>-285738.17999999982</v>
      </c>
    </row>
    <row r="36" spans="1:39" ht="16" x14ac:dyDescent="0.2">
      <c r="A36" s="32"/>
      <c r="B36" s="32"/>
      <c r="C36" s="32" t="s">
        <v>48</v>
      </c>
      <c r="D36" s="32"/>
      <c r="E36" s="32"/>
      <c r="F36" s="32"/>
      <c r="G36" s="129"/>
      <c r="H36" s="146"/>
      <c r="I36" s="147"/>
      <c r="J36" s="147"/>
      <c r="K36" s="147">
        <v>75</v>
      </c>
      <c r="L36" s="147">
        <v>75</v>
      </c>
      <c r="M36" s="147">
        <v>75</v>
      </c>
      <c r="N36" s="147">
        <v>75</v>
      </c>
      <c r="O36" s="147"/>
      <c r="P36" s="147"/>
      <c r="Q36" s="147"/>
      <c r="R36" s="147"/>
      <c r="S36" s="257"/>
      <c r="T36" s="229">
        <f>AC36/12</f>
        <v>6.25</v>
      </c>
      <c r="U36" s="147">
        <f t="shared" si="1"/>
        <v>256.25</v>
      </c>
      <c r="V36" s="147"/>
      <c r="W36" s="148">
        <f t="shared" si="9"/>
        <v>300</v>
      </c>
      <c r="X36" s="48"/>
      <c r="Y36" s="197">
        <f t="shared" si="2"/>
        <v>4</v>
      </c>
      <c r="Z36" s="48"/>
      <c r="AA36" s="178">
        <f t="shared" si="10"/>
        <v>43.75</v>
      </c>
      <c r="AB36" s="147"/>
      <c r="AC36" s="147">
        <v>75</v>
      </c>
      <c r="AD36" s="72"/>
      <c r="AE36" s="72"/>
      <c r="AF36" s="49">
        <f t="shared" si="5"/>
        <v>-31.25</v>
      </c>
      <c r="AG36" s="50">
        <f t="shared" si="11"/>
        <v>6.25</v>
      </c>
      <c r="AH36" s="25"/>
      <c r="AL36" s="14" t="s">
        <v>32</v>
      </c>
      <c r="AM36" s="14">
        <v>2730548.47</v>
      </c>
    </row>
    <row r="37" spans="1:39" ht="16" hidden="1" x14ac:dyDescent="0.2">
      <c r="A37" s="32"/>
      <c r="B37" s="32"/>
      <c r="C37" s="32" t="s">
        <v>49</v>
      </c>
      <c r="D37" s="32"/>
      <c r="E37" s="32"/>
      <c r="F37" s="32"/>
      <c r="G37" s="129"/>
      <c r="H37" s="146"/>
      <c r="I37" s="147"/>
      <c r="J37" s="147"/>
      <c r="K37" s="147"/>
      <c r="L37" s="147"/>
      <c r="M37" s="147"/>
      <c r="N37" s="147"/>
      <c r="O37" s="147"/>
      <c r="P37" s="147"/>
      <c r="Q37" s="147"/>
      <c r="R37" s="147"/>
      <c r="S37" s="257"/>
      <c r="T37" s="229"/>
      <c r="U37" s="147">
        <f t="shared" si="1"/>
        <v>0</v>
      </c>
      <c r="V37" s="147"/>
      <c r="W37" s="148">
        <f t="shared" si="9"/>
        <v>0</v>
      </c>
      <c r="X37" s="48"/>
      <c r="Y37" s="197" t="e">
        <f t="shared" si="2"/>
        <v>#DIV/0!</v>
      </c>
      <c r="Z37" s="48"/>
      <c r="AA37" s="178">
        <f t="shared" si="10"/>
        <v>0</v>
      </c>
      <c r="AB37" s="147"/>
      <c r="AC37" s="147">
        <v>0</v>
      </c>
      <c r="AD37" s="72"/>
      <c r="AE37" s="72"/>
      <c r="AF37" s="49">
        <f t="shared" si="5"/>
        <v>0</v>
      </c>
      <c r="AG37" s="50">
        <f t="shared" si="11"/>
        <v>0</v>
      </c>
      <c r="AH37" s="25"/>
      <c r="AL37" s="14" t="s">
        <v>34</v>
      </c>
      <c r="AM37" s="14">
        <f>+AM36+AM35</f>
        <v>2444810.2900000005</v>
      </c>
    </row>
    <row r="38" spans="1:39" ht="16" x14ac:dyDescent="0.2">
      <c r="A38" s="32"/>
      <c r="B38" s="32"/>
      <c r="C38" s="32" t="s">
        <v>214</v>
      </c>
      <c r="D38" s="32"/>
      <c r="E38" s="32"/>
      <c r="F38" s="32"/>
      <c r="G38" s="129"/>
      <c r="H38" s="146"/>
      <c r="I38" s="147"/>
      <c r="J38" s="147"/>
      <c r="K38" s="147"/>
      <c r="L38" s="147"/>
      <c r="M38" s="147"/>
      <c r="N38" s="147"/>
      <c r="O38" s="147"/>
      <c r="P38" s="147"/>
      <c r="Q38" s="147"/>
      <c r="R38" s="147"/>
      <c r="S38" s="257"/>
      <c r="T38" s="229">
        <v>13050</v>
      </c>
      <c r="U38" s="147">
        <f t="shared" si="1"/>
        <v>-100485</v>
      </c>
      <c r="V38" s="147"/>
      <c r="W38" s="148">
        <f t="shared" si="9"/>
        <v>0</v>
      </c>
      <c r="X38" s="48"/>
      <c r="Y38" s="197">
        <f t="shared" si="2"/>
        <v>0</v>
      </c>
      <c r="Z38" s="48"/>
      <c r="AA38" s="178">
        <f t="shared" si="10"/>
        <v>100485</v>
      </c>
      <c r="AB38" s="147"/>
      <c r="AC38" s="147">
        <v>172260</v>
      </c>
      <c r="AD38" s="72"/>
      <c r="AE38" s="72"/>
      <c r="AF38" s="49">
        <f t="shared" si="5"/>
        <v>-71775</v>
      </c>
      <c r="AG38" s="50">
        <f t="shared" si="11"/>
        <v>14355</v>
      </c>
      <c r="AH38" s="25"/>
      <c r="AL38" s="14"/>
      <c r="AM38" s="14"/>
    </row>
    <row r="39" spans="1:39" ht="16" x14ac:dyDescent="0.2">
      <c r="A39" s="32"/>
      <c r="B39" s="32"/>
      <c r="C39" s="32" t="s">
        <v>223</v>
      </c>
      <c r="D39" s="32"/>
      <c r="E39" s="32"/>
      <c r="F39" s="32"/>
      <c r="G39" s="129"/>
      <c r="H39" s="146"/>
      <c r="I39" s="147"/>
      <c r="J39" s="147"/>
      <c r="K39" s="147"/>
      <c r="L39" s="147"/>
      <c r="M39" s="147"/>
      <c r="N39" s="147"/>
      <c r="O39" s="147"/>
      <c r="P39" s="147"/>
      <c r="Q39" s="147"/>
      <c r="R39" s="147"/>
      <c r="S39" s="257"/>
      <c r="T39" s="229"/>
      <c r="U39" s="147">
        <v>0</v>
      </c>
      <c r="V39" s="147"/>
      <c r="W39" s="148">
        <f>SUM(H39:S39)</f>
        <v>0</v>
      </c>
      <c r="X39" s="48"/>
      <c r="Y39" s="197" t="e">
        <f t="shared" si="2"/>
        <v>#DIV/0!</v>
      </c>
      <c r="Z39" s="48"/>
      <c r="AA39" s="178">
        <v>0</v>
      </c>
      <c r="AB39" s="147"/>
      <c r="AC39" s="147"/>
      <c r="AD39" s="72"/>
      <c r="AE39" s="72"/>
      <c r="AF39" s="49">
        <v>0</v>
      </c>
      <c r="AG39" s="50"/>
      <c r="AH39" s="25"/>
      <c r="AL39" s="14"/>
      <c r="AM39" s="14"/>
    </row>
    <row r="40" spans="1:39" ht="16" x14ac:dyDescent="0.2">
      <c r="A40" s="32"/>
      <c r="B40" s="32"/>
      <c r="C40" s="32" t="s">
        <v>222</v>
      </c>
      <c r="D40" s="32"/>
      <c r="E40" s="32"/>
      <c r="F40" s="32"/>
      <c r="G40" s="129"/>
      <c r="H40" s="146">
        <v>2083.1999999999998</v>
      </c>
      <c r="I40" s="147">
        <v>4166.3999999999996</v>
      </c>
      <c r="J40" s="147"/>
      <c r="K40" s="147">
        <v>4166.3999999999996</v>
      </c>
      <c r="L40" s="147"/>
      <c r="M40" s="147">
        <v>2083.1999999999998</v>
      </c>
      <c r="N40" s="147">
        <v>2083.1999999999998</v>
      </c>
      <c r="O40" s="147"/>
      <c r="P40" s="147"/>
      <c r="Q40" s="147"/>
      <c r="R40" s="147"/>
      <c r="S40" s="257"/>
      <c r="T40" s="229">
        <v>0</v>
      </c>
      <c r="U40" s="147">
        <f t="shared" si="1"/>
        <v>-0.93333333333248447</v>
      </c>
      <c r="V40" s="147"/>
      <c r="W40" s="148">
        <f t="shared" si="9"/>
        <v>14582.400000000001</v>
      </c>
      <c r="X40" s="48"/>
      <c r="Y40" s="197">
        <f t="shared" si="2"/>
        <v>0.58329600000000004</v>
      </c>
      <c r="Z40" s="48"/>
      <c r="AA40" s="178">
        <f t="shared" si="10"/>
        <v>14583.333333333334</v>
      </c>
      <c r="AB40" s="147"/>
      <c r="AC40" s="147">
        <v>25000</v>
      </c>
      <c r="AD40" s="72"/>
      <c r="AE40" s="72"/>
      <c r="AF40" s="49">
        <f t="shared" si="5"/>
        <v>-10416.666666666666</v>
      </c>
      <c r="AG40" s="50">
        <f t="shared" si="11"/>
        <v>2083.3333333333335</v>
      </c>
      <c r="AH40" s="25"/>
      <c r="AL40" s="14"/>
      <c r="AM40" s="14"/>
    </row>
    <row r="41" spans="1:39" ht="16" x14ac:dyDescent="0.2">
      <c r="A41" s="32"/>
      <c r="B41" s="32"/>
      <c r="C41" s="93" t="s">
        <v>50</v>
      </c>
      <c r="D41" s="93"/>
      <c r="E41" s="93"/>
      <c r="F41" s="93"/>
      <c r="G41" s="130"/>
      <c r="H41" s="149"/>
      <c r="I41" s="150"/>
      <c r="J41" s="150"/>
      <c r="K41" s="150"/>
      <c r="L41" s="150"/>
      <c r="M41" s="150"/>
      <c r="N41" s="150"/>
      <c r="O41" s="150"/>
      <c r="P41" s="150"/>
      <c r="Q41" s="150"/>
      <c r="R41" s="150"/>
      <c r="S41" s="258"/>
      <c r="T41" s="230"/>
      <c r="U41" s="150">
        <f t="shared" si="1"/>
        <v>0</v>
      </c>
      <c r="V41" s="150"/>
      <c r="W41" s="150">
        <f t="shared" si="9"/>
        <v>0</v>
      </c>
      <c r="X41" s="94"/>
      <c r="Y41" s="94"/>
      <c r="Z41" s="94"/>
      <c r="AA41" s="150">
        <f t="shared" si="10"/>
        <v>0</v>
      </c>
      <c r="AB41" s="150"/>
      <c r="AC41" s="150"/>
      <c r="AD41" s="94"/>
      <c r="AE41" s="94"/>
      <c r="AF41" s="49">
        <f t="shared" si="5"/>
        <v>0</v>
      </c>
      <c r="AG41" s="50">
        <f t="shared" si="11"/>
        <v>0</v>
      </c>
      <c r="AH41" s="25"/>
    </row>
    <row r="42" spans="1:39" ht="16" x14ac:dyDescent="0.2">
      <c r="A42" s="32"/>
      <c r="B42" s="32"/>
      <c r="C42" s="22"/>
      <c r="D42" s="32" t="s">
        <v>51</v>
      </c>
      <c r="E42" s="32"/>
      <c r="F42" s="32"/>
      <c r="G42" s="129"/>
      <c r="H42" s="146"/>
      <c r="I42" s="147"/>
      <c r="J42" s="147"/>
      <c r="K42" s="147"/>
      <c r="L42" s="147"/>
      <c r="M42" s="147"/>
      <c r="N42" s="147"/>
      <c r="O42" s="147"/>
      <c r="P42" s="147"/>
      <c r="Q42" s="147"/>
      <c r="R42" s="147"/>
      <c r="S42" s="257"/>
      <c r="T42" s="229">
        <f>AC42/12</f>
        <v>0</v>
      </c>
      <c r="U42" s="147">
        <f t="shared" si="1"/>
        <v>0</v>
      </c>
      <c r="V42" s="147"/>
      <c r="W42" s="148">
        <f t="shared" si="9"/>
        <v>0</v>
      </c>
      <c r="X42" s="48"/>
      <c r="Y42" s="197" t="e">
        <f t="shared" ref="Y42:Y45" si="12">W42/AC42</f>
        <v>#DIV/0!</v>
      </c>
      <c r="Z42" s="48"/>
      <c r="AA42" s="178">
        <f t="shared" si="10"/>
        <v>0</v>
      </c>
      <c r="AB42" s="147"/>
      <c r="AC42" s="147">
        <v>0</v>
      </c>
      <c r="AD42" s="48">
        <v>500</v>
      </c>
      <c r="AE42" s="48"/>
      <c r="AF42" s="49">
        <f t="shared" si="5"/>
        <v>0</v>
      </c>
      <c r="AG42" s="50">
        <f t="shared" si="11"/>
        <v>0</v>
      </c>
      <c r="AH42" s="25"/>
    </row>
    <row r="43" spans="1:39" ht="17" thickBot="1" x14ac:dyDescent="0.25">
      <c r="A43" s="32"/>
      <c r="B43" s="32"/>
      <c r="C43" s="32"/>
      <c r="D43" s="32" t="s">
        <v>183</v>
      </c>
      <c r="E43" s="32"/>
      <c r="F43" s="32"/>
      <c r="G43" s="129"/>
      <c r="H43" s="146">
        <v>150</v>
      </c>
      <c r="I43" s="147">
        <v>50</v>
      </c>
      <c r="J43" s="147">
        <v>200</v>
      </c>
      <c r="K43" s="147">
        <v>100</v>
      </c>
      <c r="L43" s="147">
        <v>100</v>
      </c>
      <c r="M43" s="147"/>
      <c r="N43" s="147">
        <v>350</v>
      </c>
      <c r="O43" s="147"/>
      <c r="P43" s="147"/>
      <c r="Q43" s="147"/>
      <c r="R43" s="147"/>
      <c r="S43" s="257"/>
      <c r="T43" s="229">
        <f>AC43/12</f>
        <v>50</v>
      </c>
      <c r="U43" s="147">
        <f t="shared" si="1"/>
        <v>600</v>
      </c>
      <c r="V43" s="147"/>
      <c r="W43" s="148">
        <f t="shared" si="9"/>
        <v>950</v>
      </c>
      <c r="X43" s="48"/>
      <c r="Y43" s="197">
        <f t="shared" si="12"/>
        <v>1.5833333333333333</v>
      </c>
      <c r="Z43" s="48"/>
      <c r="AA43" s="178">
        <f t="shared" si="10"/>
        <v>350</v>
      </c>
      <c r="AB43" s="147"/>
      <c r="AC43" s="147">
        <v>600</v>
      </c>
      <c r="AD43" s="48">
        <v>300</v>
      </c>
      <c r="AE43" s="48"/>
      <c r="AF43" s="49">
        <f t="shared" si="5"/>
        <v>-250</v>
      </c>
      <c r="AG43" s="52">
        <f t="shared" si="11"/>
        <v>50</v>
      </c>
      <c r="AH43" s="25"/>
    </row>
    <row r="44" spans="1:39" ht="17" thickBot="1" x14ac:dyDescent="0.25">
      <c r="A44" s="32"/>
      <c r="B44" s="32"/>
      <c r="C44" s="105" t="s">
        <v>52</v>
      </c>
      <c r="D44" s="105"/>
      <c r="E44" s="105"/>
      <c r="F44" s="105"/>
      <c r="G44" s="131"/>
      <c r="H44" s="152">
        <f>SUM(H42:H43)</f>
        <v>150</v>
      </c>
      <c r="I44" s="152">
        <f>SUM(I42:I43)</f>
        <v>50</v>
      </c>
      <c r="J44" s="152">
        <f t="shared" ref="J44:L44" si="13">SUM(J42:J43)</f>
        <v>200</v>
      </c>
      <c r="K44" s="152">
        <f t="shared" si="13"/>
        <v>100</v>
      </c>
      <c r="L44" s="152">
        <f t="shared" si="13"/>
        <v>100</v>
      </c>
      <c r="M44" s="152">
        <f>SUM(M42:M43)</f>
        <v>0</v>
      </c>
      <c r="N44" s="152">
        <f t="shared" ref="N44:T44" si="14">SUM(N42:N43)</f>
        <v>350</v>
      </c>
      <c r="O44" s="152">
        <f t="shared" si="14"/>
        <v>0</v>
      </c>
      <c r="P44" s="152">
        <f t="shared" si="14"/>
        <v>0</v>
      </c>
      <c r="Q44" s="152">
        <f t="shared" si="14"/>
        <v>0</v>
      </c>
      <c r="R44" s="152">
        <f t="shared" si="14"/>
        <v>0</v>
      </c>
      <c r="S44" s="152">
        <f t="shared" si="14"/>
        <v>0</v>
      </c>
      <c r="T44" s="152">
        <f t="shared" si="14"/>
        <v>50</v>
      </c>
      <c r="U44" s="152">
        <f t="shared" si="1"/>
        <v>600</v>
      </c>
      <c r="V44" s="152"/>
      <c r="W44" s="152">
        <f t="shared" si="9"/>
        <v>950</v>
      </c>
      <c r="X44" s="103"/>
      <c r="Y44" s="200">
        <f t="shared" si="12"/>
        <v>1.5833333333333333</v>
      </c>
      <c r="Z44" s="103"/>
      <c r="AA44" s="152">
        <f>SUM(AA42:AA43)</f>
        <v>350</v>
      </c>
      <c r="AB44" s="152"/>
      <c r="AC44" s="152">
        <f>SUM(AC42:AC43)</f>
        <v>600</v>
      </c>
      <c r="AD44" s="103">
        <f>SUM(AD41:AD43)</f>
        <v>800</v>
      </c>
      <c r="AE44" s="103"/>
      <c r="AF44" s="49">
        <f t="shared" si="5"/>
        <v>-250</v>
      </c>
      <c r="AG44" s="55"/>
      <c r="AH44" s="25"/>
    </row>
    <row r="45" spans="1:39" ht="17" thickBot="1" x14ac:dyDescent="0.25">
      <c r="A45" s="32"/>
      <c r="B45" s="104" t="s">
        <v>53</v>
      </c>
      <c r="C45" s="104"/>
      <c r="D45" s="104"/>
      <c r="E45" s="104"/>
      <c r="F45" s="104"/>
      <c r="G45" s="132"/>
      <c r="H45" s="155">
        <f t="shared" ref="H45:L45" si="15">SUM(H28:H43)</f>
        <v>5438.2</v>
      </c>
      <c r="I45" s="155">
        <f t="shared" si="15"/>
        <v>6341.4</v>
      </c>
      <c r="J45" s="155">
        <f t="shared" si="15"/>
        <v>2240</v>
      </c>
      <c r="K45" s="155">
        <f t="shared" si="15"/>
        <v>6478.9</v>
      </c>
      <c r="L45" s="155">
        <f t="shared" si="15"/>
        <v>4485</v>
      </c>
      <c r="M45" s="155">
        <f t="shared" ref="M45:S45" si="16">SUM(M28:M43)</f>
        <v>4523.2</v>
      </c>
      <c r="N45" s="155">
        <f t="shared" si="16"/>
        <v>4905.7</v>
      </c>
      <c r="O45" s="155">
        <f t="shared" si="16"/>
        <v>0</v>
      </c>
      <c r="P45" s="155">
        <f t="shared" si="16"/>
        <v>0</v>
      </c>
      <c r="Q45" s="155">
        <f t="shared" si="16"/>
        <v>0</v>
      </c>
      <c r="R45" s="155">
        <f t="shared" si="16"/>
        <v>0</v>
      </c>
      <c r="S45" s="262">
        <f t="shared" si="16"/>
        <v>0</v>
      </c>
      <c r="T45" s="233">
        <f>AC45/12</f>
        <v>18074.583333333332</v>
      </c>
      <c r="U45" s="155">
        <f t="shared" si="1"/>
        <v>-92109.68333333332</v>
      </c>
      <c r="V45" s="155"/>
      <c r="W45" s="156">
        <f t="shared" si="9"/>
        <v>34412.400000000001</v>
      </c>
      <c r="X45" s="53"/>
      <c r="Y45" s="199">
        <f t="shared" si="12"/>
        <v>0.15865925908849904</v>
      </c>
      <c r="Z45" s="53"/>
      <c r="AA45" s="180">
        <f>SUM(AA27:AA40)+AA44</f>
        <v>126522.08333333333</v>
      </c>
      <c r="AB45" s="155"/>
      <c r="AC45" s="155">
        <f>SUM(AC27:AC40)+AC44</f>
        <v>216895</v>
      </c>
      <c r="AD45" s="53">
        <f>SUM(AD27:AD37)+AD44</f>
        <v>800</v>
      </c>
      <c r="AE45" s="53"/>
      <c r="AF45" s="49">
        <f t="shared" si="5"/>
        <v>-90372.916666666672</v>
      </c>
      <c r="AG45" s="55"/>
      <c r="AH45" s="25"/>
      <c r="AJ45" s="14"/>
    </row>
    <row r="46" spans="1:39" ht="17" thickBot="1" x14ac:dyDescent="0.25">
      <c r="A46" s="32"/>
      <c r="B46" s="32"/>
      <c r="C46" s="32"/>
      <c r="D46" s="32"/>
      <c r="E46" s="32"/>
      <c r="F46" s="32"/>
      <c r="G46" s="129"/>
      <c r="H46" s="146"/>
      <c r="I46" s="147"/>
      <c r="J46" s="147"/>
      <c r="K46" s="147"/>
      <c r="L46" s="147"/>
      <c r="M46" s="147"/>
      <c r="N46" s="147"/>
      <c r="O46" s="147"/>
      <c r="P46" s="147"/>
      <c r="Q46" s="147"/>
      <c r="R46" s="147"/>
      <c r="S46" s="257"/>
      <c r="T46" s="229"/>
      <c r="U46" s="147"/>
      <c r="V46" s="147"/>
      <c r="W46" s="148"/>
      <c r="X46" s="48"/>
      <c r="Y46" s="48"/>
      <c r="Z46" s="48"/>
      <c r="AA46" s="178"/>
      <c r="AB46" s="147"/>
      <c r="AC46" s="147"/>
      <c r="AD46" s="48"/>
      <c r="AE46" s="48"/>
      <c r="AF46" s="49"/>
      <c r="AG46" s="55"/>
      <c r="AH46" s="25"/>
      <c r="AJ46" s="14"/>
    </row>
    <row r="47" spans="1:39" ht="19.25" customHeight="1" thickBot="1" x14ac:dyDescent="0.25">
      <c r="A47" s="32"/>
      <c r="B47" s="106" t="s">
        <v>54</v>
      </c>
      <c r="C47" s="106"/>
      <c r="D47" s="106"/>
      <c r="E47" s="106"/>
      <c r="F47" s="106"/>
      <c r="G47" s="133"/>
      <c r="H47" s="158">
        <f t="shared" ref="H47:S47" si="17">SUM(H8+H26+H45)</f>
        <v>337257.89</v>
      </c>
      <c r="I47" s="159">
        <f t="shared" si="17"/>
        <v>336590.58000000007</v>
      </c>
      <c r="J47" s="159">
        <f t="shared" si="17"/>
        <v>328773.84000000003</v>
      </c>
      <c r="K47" s="159">
        <f t="shared" si="17"/>
        <v>362512.09</v>
      </c>
      <c r="L47" s="159">
        <f t="shared" si="17"/>
        <v>352969.48</v>
      </c>
      <c r="M47" s="159">
        <f t="shared" si="17"/>
        <v>331069.46999999997</v>
      </c>
      <c r="N47" s="159">
        <f>SUM(N8+N26+N45)</f>
        <v>331873.57</v>
      </c>
      <c r="O47" s="159">
        <f t="shared" si="17"/>
        <v>0</v>
      </c>
      <c r="P47" s="159">
        <f t="shared" si="17"/>
        <v>0</v>
      </c>
      <c r="Q47" s="159">
        <f t="shared" si="17"/>
        <v>0</v>
      </c>
      <c r="R47" s="159">
        <f t="shared" si="17"/>
        <v>0</v>
      </c>
      <c r="S47" s="263">
        <f t="shared" si="17"/>
        <v>0</v>
      </c>
      <c r="T47" s="235">
        <f>AC47/12</f>
        <v>331047.5</v>
      </c>
      <c r="U47" s="159">
        <f t="shared" si="1"/>
        <v>63714.419999999925</v>
      </c>
      <c r="V47" s="159"/>
      <c r="W47" s="160">
        <f>SUM(H47:S47)</f>
        <v>2381046.92</v>
      </c>
      <c r="X47" s="95"/>
      <c r="Y47" s="201">
        <f t="shared" ref="Y47:Y48" si="18">W47/AC47</f>
        <v>0.59937192296170994</v>
      </c>
      <c r="Z47" s="95"/>
      <c r="AA47" s="181">
        <f>ROUND(AA8+AA26+AA45,5)</f>
        <v>2317332.5</v>
      </c>
      <c r="AB47" s="159"/>
      <c r="AC47" s="159">
        <f>ROUND(AC8+AC26+AC45,5)</f>
        <v>3972570</v>
      </c>
      <c r="AD47" s="95">
        <f>ROUND(AD8+AD26+AD45,5)</f>
        <v>1100</v>
      </c>
      <c r="AE47" s="95"/>
      <c r="AF47" s="49">
        <f t="shared" si="5"/>
        <v>-1655237.5</v>
      </c>
      <c r="AG47" s="56">
        <f>ROUND(AG8+AG26+AG45,5)</f>
        <v>0</v>
      </c>
      <c r="AH47" s="25"/>
      <c r="AJ47" s="14"/>
      <c r="AL47" s="14"/>
      <c r="AM47" s="14"/>
    </row>
    <row r="48" spans="1:39" ht="21" customHeight="1" thickBot="1" x14ac:dyDescent="0.25">
      <c r="A48" s="32"/>
      <c r="B48" s="57" t="s">
        <v>55</v>
      </c>
      <c r="C48" s="57"/>
      <c r="D48" s="57"/>
      <c r="E48" s="57"/>
      <c r="F48" s="57"/>
      <c r="G48" s="134"/>
      <c r="H48" s="161">
        <f>H47</f>
        <v>337257.89</v>
      </c>
      <c r="I48" s="162">
        <f>I47</f>
        <v>336590.58000000007</v>
      </c>
      <c r="J48" s="162">
        <f t="shared" ref="J48:S48" si="19">J47</f>
        <v>328773.84000000003</v>
      </c>
      <c r="K48" s="162">
        <f t="shared" ref="K48" si="20">K47</f>
        <v>362512.09</v>
      </c>
      <c r="L48" s="162">
        <f>L47</f>
        <v>352969.48</v>
      </c>
      <c r="M48" s="162">
        <f t="shared" ref="M48" si="21">M47</f>
        <v>331069.46999999997</v>
      </c>
      <c r="N48" s="162">
        <f t="shared" si="19"/>
        <v>331873.57</v>
      </c>
      <c r="O48" s="162">
        <f t="shared" si="19"/>
        <v>0</v>
      </c>
      <c r="P48" s="162">
        <f t="shared" si="19"/>
        <v>0</v>
      </c>
      <c r="Q48" s="162">
        <f t="shared" si="19"/>
        <v>0</v>
      </c>
      <c r="R48" s="162">
        <f t="shared" si="19"/>
        <v>0</v>
      </c>
      <c r="S48" s="264">
        <f t="shared" si="19"/>
        <v>0</v>
      </c>
      <c r="T48" s="236">
        <f t="shared" si="4"/>
        <v>331047.5</v>
      </c>
      <c r="U48" s="162">
        <f t="shared" si="1"/>
        <v>63714.419999999925</v>
      </c>
      <c r="V48" s="162"/>
      <c r="W48" s="163">
        <f>SUM(H48:S48)</f>
        <v>2381046.92</v>
      </c>
      <c r="X48" s="58"/>
      <c r="Y48" s="202">
        <f t="shared" si="18"/>
        <v>0.59937192296170994</v>
      </c>
      <c r="Z48" s="58"/>
      <c r="AA48" s="182">
        <f>AA47</f>
        <v>2317332.5</v>
      </c>
      <c r="AB48" s="162"/>
      <c r="AC48" s="162">
        <f>AC47</f>
        <v>3972570</v>
      </c>
      <c r="AD48" s="58">
        <f>AD47</f>
        <v>1100</v>
      </c>
      <c r="AE48" s="58"/>
      <c r="AF48" s="49">
        <f t="shared" si="5"/>
        <v>-1655237.5</v>
      </c>
      <c r="AG48" s="45">
        <f>AG47</f>
        <v>0</v>
      </c>
      <c r="AH48" s="25"/>
      <c r="AJ48" s="17"/>
      <c r="AL48" s="14"/>
      <c r="AM48" s="14"/>
    </row>
    <row r="49" spans="1:39" ht="29" customHeight="1" thickTop="1" x14ac:dyDescent="0.2">
      <c r="A49" s="32"/>
      <c r="B49" s="32"/>
      <c r="C49" s="32"/>
      <c r="D49" s="32"/>
      <c r="E49" s="32"/>
      <c r="F49" s="32"/>
      <c r="G49" s="129"/>
      <c r="H49" s="143"/>
      <c r="I49" s="48"/>
      <c r="J49" s="48"/>
      <c r="K49" s="48"/>
      <c r="L49" s="48"/>
      <c r="M49" s="48"/>
      <c r="N49" s="48"/>
      <c r="O49" s="48"/>
      <c r="P49" s="48"/>
      <c r="Q49" s="48"/>
      <c r="R49" s="48"/>
      <c r="S49" s="261"/>
      <c r="T49" s="234" t="s">
        <v>178</v>
      </c>
      <c r="U49" s="48" t="s">
        <v>178</v>
      </c>
      <c r="V49" s="48"/>
      <c r="W49" s="48" t="s">
        <v>178</v>
      </c>
      <c r="X49" s="48"/>
      <c r="Y49" s="48"/>
      <c r="Z49" s="48"/>
      <c r="AA49" s="48"/>
      <c r="AB49" s="48"/>
      <c r="AC49" s="48"/>
      <c r="AD49" s="72"/>
      <c r="AE49" s="72"/>
      <c r="AF49" s="49">
        <f t="shared" si="5"/>
        <v>0</v>
      </c>
      <c r="AG49" s="50">
        <f t="shared" ref="AG49:AG55" si="22">+AC49/12</f>
        <v>0</v>
      </c>
      <c r="AH49" s="25"/>
      <c r="AJ49" s="14"/>
      <c r="AL49" s="14"/>
      <c r="AM49" s="14"/>
    </row>
    <row r="50" spans="1:39" ht="16" x14ac:dyDescent="0.2">
      <c r="A50" s="32"/>
      <c r="B50" s="32" t="s">
        <v>56</v>
      </c>
      <c r="C50" s="32"/>
      <c r="D50" s="32"/>
      <c r="E50" s="32"/>
      <c r="F50" s="32"/>
      <c r="G50" s="129"/>
      <c r="H50" s="143"/>
      <c r="I50" s="48"/>
      <c r="J50" s="48"/>
      <c r="K50" s="48"/>
      <c r="L50" s="48"/>
      <c r="M50" s="48"/>
      <c r="N50" s="48"/>
      <c r="O50" s="48"/>
      <c r="P50" s="48"/>
      <c r="Q50" s="48"/>
      <c r="R50" s="48"/>
      <c r="S50" s="261"/>
      <c r="T50" s="234" t="s">
        <v>178</v>
      </c>
      <c r="U50" s="48" t="s">
        <v>178</v>
      </c>
      <c r="V50" s="48"/>
      <c r="W50" s="48" t="s">
        <v>178</v>
      </c>
      <c r="X50" s="48"/>
      <c r="Y50" s="48"/>
      <c r="Z50" s="48"/>
      <c r="AA50" s="48"/>
      <c r="AB50" s="48"/>
      <c r="AC50" s="48"/>
      <c r="AD50" s="72"/>
      <c r="AE50" s="72"/>
      <c r="AF50" s="49">
        <f t="shared" si="5"/>
        <v>0</v>
      </c>
      <c r="AG50" s="50">
        <f t="shared" si="22"/>
        <v>0</v>
      </c>
      <c r="AH50" s="25"/>
      <c r="AJ50" s="17"/>
      <c r="AL50" s="14"/>
      <c r="AM50" s="10"/>
    </row>
    <row r="51" spans="1:39" ht="25.5" customHeight="1" x14ac:dyDescent="0.2">
      <c r="A51" s="32"/>
      <c r="B51" s="32"/>
      <c r="C51" s="32" t="s">
        <v>57</v>
      </c>
      <c r="D51" s="32"/>
      <c r="E51" s="32"/>
      <c r="F51" s="32"/>
      <c r="G51" s="129"/>
      <c r="H51" s="143"/>
      <c r="I51" s="48"/>
      <c r="J51" s="48"/>
      <c r="K51" s="48"/>
      <c r="L51" s="48"/>
      <c r="M51" s="48"/>
      <c r="N51" s="48"/>
      <c r="O51" s="48"/>
      <c r="P51" s="48"/>
      <c r="Q51" s="48"/>
      <c r="R51" s="48"/>
      <c r="S51" s="261"/>
      <c r="T51" s="234" t="s">
        <v>178</v>
      </c>
      <c r="U51" s="48" t="s">
        <v>178</v>
      </c>
      <c r="V51" s="48"/>
      <c r="W51" s="48" t="s">
        <v>178</v>
      </c>
      <c r="X51" s="48"/>
      <c r="Y51" s="48"/>
      <c r="Z51" s="48"/>
      <c r="AA51" s="48"/>
      <c r="AB51" s="48"/>
      <c r="AC51" s="48"/>
      <c r="AD51" s="72"/>
      <c r="AE51" s="72"/>
      <c r="AF51" s="49">
        <f t="shared" si="5"/>
        <v>0</v>
      </c>
      <c r="AG51" s="50">
        <f t="shared" si="22"/>
        <v>0</v>
      </c>
      <c r="AH51" s="25"/>
      <c r="AJ51" s="17"/>
      <c r="AL51" s="14"/>
      <c r="AM51" s="10"/>
    </row>
    <row r="52" spans="1:39" ht="16" x14ac:dyDescent="0.2">
      <c r="A52" s="32"/>
      <c r="B52" s="32"/>
      <c r="C52" s="32"/>
      <c r="D52" s="99" t="s">
        <v>58</v>
      </c>
      <c r="E52" s="99"/>
      <c r="F52" s="99"/>
      <c r="G52" s="135"/>
      <c r="H52" s="145"/>
      <c r="I52" s="97"/>
      <c r="J52" s="97"/>
      <c r="K52" s="97"/>
      <c r="L52" s="97"/>
      <c r="M52" s="97"/>
      <c r="N52" s="97"/>
      <c r="O52" s="97"/>
      <c r="P52" s="97"/>
      <c r="Q52" s="97"/>
      <c r="R52" s="97"/>
      <c r="S52" s="265"/>
      <c r="T52" s="237" t="s">
        <v>178</v>
      </c>
      <c r="U52" s="97" t="s">
        <v>178</v>
      </c>
      <c r="V52" s="97"/>
      <c r="W52" s="97" t="s">
        <v>178</v>
      </c>
      <c r="X52" s="97"/>
      <c r="Y52" s="97"/>
      <c r="Z52" s="97"/>
      <c r="AA52" s="97"/>
      <c r="AB52" s="97"/>
      <c r="AC52" s="97"/>
      <c r="AD52" s="98"/>
      <c r="AE52" s="98"/>
      <c r="AF52" s="49">
        <f t="shared" si="5"/>
        <v>0</v>
      </c>
      <c r="AG52" s="50">
        <f t="shared" si="22"/>
        <v>0</v>
      </c>
      <c r="AH52" s="25"/>
      <c r="AJ52" s="17"/>
      <c r="AL52" s="14"/>
      <c r="AM52" s="10"/>
    </row>
    <row r="53" spans="1:39" ht="16" x14ac:dyDescent="0.2">
      <c r="A53" s="32"/>
      <c r="B53" s="32"/>
      <c r="C53" s="32"/>
      <c r="D53" s="32"/>
      <c r="E53" s="93" t="s">
        <v>59</v>
      </c>
      <c r="F53" s="101"/>
      <c r="G53" s="130"/>
      <c r="H53" s="144"/>
      <c r="I53" s="94"/>
      <c r="J53" s="94"/>
      <c r="K53" s="94"/>
      <c r="L53" s="94"/>
      <c r="M53" s="94"/>
      <c r="N53" s="94"/>
      <c r="O53" s="94"/>
      <c r="P53" s="94"/>
      <c r="Q53" s="94"/>
      <c r="R53" s="94"/>
      <c r="S53" s="266"/>
      <c r="T53" s="238" t="s">
        <v>178</v>
      </c>
      <c r="U53" s="94" t="s">
        <v>178</v>
      </c>
      <c r="V53" s="94" t="s">
        <v>178</v>
      </c>
      <c r="W53" s="94" t="s">
        <v>178</v>
      </c>
      <c r="X53" s="94"/>
      <c r="Y53" s="94"/>
      <c r="Z53" s="94"/>
      <c r="AA53" s="94"/>
      <c r="AB53" s="94"/>
      <c r="AC53" s="94"/>
      <c r="AD53" s="94"/>
      <c r="AE53" s="94"/>
      <c r="AF53" s="49">
        <f t="shared" si="5"/>
        <v>0</v>
      </c>
      <c r="AG53" s="50">
        <f t="shared" si="22"/>
        <v>0</v>
      </c>
      <c r="AH53" s="25"/>
      <c r="AJ53" s="17"/>
      <c r="AL53" s="14"/>
      <c r="AM53" s="10"/>
    </row>
    <row r="54" spans="1:39" ht="16" x14ac:dyDescent="0.2">
      <c r="A54" s="32"/>
      <c r="B54" s="32"/>
      <c r="C54" s="32"/>
      <c r="D54" s="32"/>
      <c r="E54" s="32"/>
      <c r="F54" s="32" t="s">
        <v>60</v>
      </c>
      <c r="G54" s="136"/>
      <c r="H54" s="146">
        <v>41358.32</v>
      </c>
      <c r="I54" s="147">
        <v>40133.99</v>
      </c>
      <c r="J54" s="147">
        <v>19323.080000000002</v>
      </c>
      <c r="K54" s="147">
        <v>26512.880000000001</v>
      </c>
      <c r="L54" s="147">
        <v>7345.48</v>
      </c>
      <c r="M54" s="147">
        <v>25540.07</v>
      </c>
      <c r="N54" s="147">
        <v>17200.95</v>
      </c>
      <c r="O54" s="147"/>
      <c r="P54" s="147"/>
      <c r="Q54" s="147"/>
      <c r="R54" s="147"/>
      <c r="S54" s="257"/>
      <c r="T54" s="229">
        <f>AC54/12</f>
        <v>25000</v>
      </c>
      <c r="U54" s="147">
        <f t="shared" si="1"/>
        <v>2414.7700000000186</v>
      </c>
      <c r="V54" s="147"/>
      <c r="W54" s="148">
        <f>SUM(H54:S54)</f>
        <v>177414.77000000002</v>
      </c>
      <c r="X54" s="48"/>
      <c r="Y54" s="197">
        <f>W54/AC54</f>
        <v>0.59138256666666678</v>
      </c>
      <c r="Z54" s="48"/>
      <c r="AA54" s="178">
        <f>AC54/12*$AI$5</f>
        <v>175000</v>
      </c>
      <c r="AB54" s="147"/>
      <c r="AC54" s="147">
        <v>300000</v>
      </c>
      <c r="AD54" s="183"/>
      <c r="AE54" s="183">
        <f>AC54-W54</f>
        <v>122585.22999999998</v>
      </c>
      <c r="AF54" s="49">
        <f t="shared" si="5"/>
        <v>-125000</v>
      </c>
      <c r="AG54" s="50">
        <f t="shared" si="22"/>
        <v>25000</v>
      </c>
      <c r="AH54" s="25"/>
      <c r="AJ54" s="17"/>
      <c r="AL54" s="14"/>
      <c r="AM54" s="10"/>
    </row>
    <row r="55" spans="1:39" ht="16" x14ac:dyDescent="0.2">
      <c r="A55" s="32"/>
      <c r="B55" s="32"/>
      <c r="C55" s="32"/>
      <c r="D55" s="32"/>
      <c r="E55" s="32"/>
      <c r="F55" s="32" t="s">
        <v>61</v>
      </c>
      <c r="G55" s="136"/>
      <c r="H55" s="146"/>
      <c r="I55" s="147">
        <v>1360.94</v>
      </c>
      <c r="J55" s="147"/>
      <c r="K55" s="147">
        <v>3082.2</v>
      </c>
      <c r="L55" s="147"/>
      <c r="M55" s="147">
        <v>382.04</v>
      </c>
      <c r="N55" s="147"/>
      <c r="O55" s="147"/>
      <c r="P55" s="147"/>
      <c r="Q55" s="147"/>
      <c r="R55" s="147"/>
      <c r="S55" s="257"/>
      <c r="T55" s="229">
        <f>AC55/12</f>
        <v>500</v>
      </c>
      <c r="U55" s="147">
        <f t="shared" si="1"/>
        <v>1325.1799999999994</v>
      </c>
      <c r="V55" s="147"/>
      <c r="W55" s="148">
        <f>SUM(H55:S55)</f>
        <v>4825.1799999999994</v>
      </c>
      <c r="X55" s="48"/>
      <c r="Y55" s="197">
        <f t="shared" ref="Y55:Y56" si="23">W55/AC55</f>
        <v>0.80419666666666656</v>
      </c>
      <c r="Z55" s="48"/>
      <c r="AA55" s="178">
        <f>AC55/12*$AI$5</f>
        <v>3500</v>
      </c>
      <c r="AB55" s="147"/>
      <c r="AC55" s="147">
        <v>6000</v>
      </c>
      <c r="AD55" s="183"/>
      <c r="AE55" s="183">
        <f>AC55-W55</f>
        <v>1174.8200000000006</v>
      </c>
      <c r="AF55" s="49">
        <f t="shared" si="5"/>
        <v>-2500</v>
      </c>
      <c r="AG55" s="50">
        <f t="shared" si="22"/>
        <v>500</v>
      </c>
      <c r="AH55" s="25"/>
      <c r="AL55" s="14"/>
      <c r="AM55" s="14"/>
    </row>
    <row r="56" spans="1:39" ht="16" x14ac:dyDescent="0.2">
      <c r="A56" s="32"/>
      <c r="B56" s="32"/>
      <c r="C56" s="32"/>
      <c r="D56" s="32"/>
      <c r="E56" s="105" t="s">
        <v>62</v>
      </c>
      <c r="F56" s="108"/>
      <c r="G56" s="131"/>
      <c r="H56" s="151">
        <f>H54+H55</f>
        <v>41358.32</v>
      </c>
      <c r="I56" s="152">
        <f t="shared" ref="I56" si="24">SUM(I50:I55)</f>
        <v>41494.93</v>
      </c>
      <c r="J56" s="152">
        <f t="shared" ref="J56" si="25">SUM(J50:J55)</f>
        <v>19323.080000000002</v>
      </c>
      <c r="K56" s="152">
        <f t="shared" ref="K56" si="26">SUM(K50:K55)</f>
        <v>29595.08</v>
      </c>
      <c r="L56" s="152">
        <f t="shared" ref="L56:M56" si="27">SUM(L50:L55)</f>
        <v>7345.48</v>
      </c>
      <c r="M56" s="152">
        <f t="shared" si="27"/>
        <v>25922.11</v>
      </c>
      <c r="N56" s="152">
        <f t="shared" ref="N56" si="28">SUM(N50:N55)</f>
        <v>17200.95</v>
      </c>
      <c r="O56" s="152">
        <f t="shared" ref="O56" si="29">SUM(O50:O55)</f>
        <v>0</v>
      </c>
      <c r="P56" s="152">
        <f>P54+P55</f>
        <v>0</v>
      </c>
      <c r="Q56" s="152">
        <f t="shared" ref="Q56" si="30">SUM(Q50:Q55)</f>
        <v>0</v>
      </c>
      <c r="R56" s="152">
        <f t="shared" ref="R56" si="31">SUM(R50:R55)</f>
        <v>0</v>
      </c>
      <c r="S56" s="259">
        <f>S55+S54</f>
        <v>0</v>
      </c>
      <c r="T56" s="231"/>
      <c r="U56" s="152">
        <f t="shared" ref="U56" si="32">SUM(U54:U55)</f>
        <v>3739.950000000018</v>
      </c>
      <c r="V56" s="152"/>
      <c r="W56" s="152">
        <f>SUM(H56:S56)</f>
        <v>182239.95</v>
      </c>
      <c r="X56" s="103"/>
      <c r="Y56" s="200">
        <f t="shared" si="23"/>
        <v>0.59555539215686282</v>
      </c>
      <c r="Z56" s="103"/>
      <c r="AA56" s="152">
        <f>SUM(AA53:AA55)</f>
        <v>178500</v>
      </c>
      <c r="AB56" s="152"/>
      <c r="AC56" s="152">
        <f>SUM(AC53:AC55)</f>
        <v>306000</v>
      </c>
      <c r="AD56" s="152"/>
      <c r="AE56" s="152">
        <f>SUM(AE53:AE55)</f>
        <v>123760.04999999999</v>
      </c>
      <c r="AF56" s="49">
        <f t="shared" si="5"/>
        <v>-127500</v>
      </c>
      <c r="AG56" s="50"/>
      <c r="AH56" s="25"/>
      <c r="AM56" s="17"/>
    </row>
    <row r="57" spans="1:39" ht="16" x14ac:dyDescent="0.2">
      <c r="A57" s="32"/>
      <c r="B57" s="32"/>
      <c r="C57" s="32"/>
      <c r="D57" s="32"/>
      <c r="E57" s="32"/>
      <c r="F57" s="22"/>
      <c r="G57" s="129"/>
      <c r="H57" s="146"/>
      <c r="I57" s="147"/>
      <c r="J57" s="147"/>
      <c r="K57" s="147"/>
      <c r="L57" s="147"/>
      <c r="M57" s="147"/>
      <c r="N57" s="147"/>
      <c r="O57" s="147"/>
      <c r="P57" s="147"/>
      <c r="Q57" s="147"/>
      <c r="R57" s="147"/>
      <c r="S57" s="257"/>
      <c r="T57" s="229"/>
      <c r="U57" s="147"/>
      <c r="V57" s="147"/>
      <c r="W57" s="148"/>
      <c r="X57" s="48"/>
      <c r="Y57" s="48"/>
      <c r="Z57" s="48"/>
      <c r="AA57" s="178"/>
      <c r="AB57" s="147"/>
      <c r="AC57" s="147"/>
      <c r="AD57" s="147"/>
      <c r="AE57" s="147"/>
      <c r="AF57" s="49"/>
      <c r="AG57" s="50"/>
      <c r="AH57" s="25"/>
      <c r="AM57" s="17"/>
    </row>
    <row r="58" spans="1:39" ht="16" x14ac:dyDescent="0.2">
      <c r="A58" s="32"/>
      <c r="B58" s="32"/>
      <c r="C58" s="32"/>
      <c r="D58" s="32"/>
      <c r="E58" s="93" t="s">
        <v>63</v>
      </c>
      <c r="F58" s="101"/>
      <c r="G58" s="130"/>
      <c r="H58" s="149"/>
      <c r="I58" s="150"/>
      <c r="J58" s="150"/>
      <c r="K58" s="150"/>
      <c r="L58" s="150"/>
      <c r="M58" s="150"/>
      <c r="N58" s="150"/>
      <c r="O58" s="150"/>
      <c r="P58" s="150"/>
      <c r="Q58" s="150"/>
      <c r="R58" s="150"/>
      <c r="S58" s="258"/>
      <c r="T58" s="230"/>
      <c r="U58" s="150" t="s">
        <v>178</v>
      </c>
      <c r="V58" s="150"/>
      <c r="W58" s="150">
        <f t="shared" ref="W58:W71" si="33">SUM(H58:S58)</f>
        <v>0</v>
      </c>
      <c r="X58" s="94"/>
      <c r="Y58" s="94"/>
      <c r="Z58" s="94"/>
      <c r="AA58" s="150"/>
      <c r="AB58" s="150"/>
      <c r="AC58" s="150"/>
      <c r="AD58" s="184"/>
      <c r="AE58" s="184"/>
      <c r="AF58" s="49">
        <f t="shared" si="5"/>
        <v>0</v>
      </c>
      <c r="AG58" s="50"/>
      <c r="AH58" s="25"/>
    </row>
    <row r="59" spans="1:39" ht="16" x14ac:dyDescent="0.2">
      <c r="A59" s="32"/>
      <c r="B59" s="32"/>
      <c r="C59" s="32"/>
      <c r="D59" s="32"/>
      <c r="E59" s="32"/>
      <c r="F59" s="32" t="s">
        <v>64</v>
      </c>
      <c r="G59" s="129"/>
      <c r="H59" s="146">
        <v>19236.53</v>
      </c>
      <c r="I59" s="147">
        <v>18463.89</v>
      </c>
      <c r="J59" s="147">
        <v>9987.27</v>
      </c>
      <c r="K59" s="147">
        <v>14021.83</v>
      </c>
      <c r="L59" s="147">
        <v>3230.33</v>
      </c>
      <c r="M59" s="147">
        <v>12338.08</v>
      </c>
      <c r="N59" s="147">
        <v>6022.61</v>
      </c>
      <c r="O59" s="147"/>
      <c r="P59" s="147"/>
      <c r="Q59" s="147"/>
      <c r="R59" s="147"/>
      <c r="S59" s="257"/>
      <c r="T59" s="229">
        <f>AC59/12</f>
        <v>11250</v>
      </c>
      <c r="U59" s="147">
        <f>W59-AA59</f>
        <v>4550.5400000000081</v>
      </c>
      <c r="V59" s="147"/>
      <c r="W59" s="148">
        <f t="shared" si="33"/>
        <v>83300.540000000008</v>
      </c>
      <c r="X59" s="48"/>
      <c r="Y59" s="197">
        <f t="shared" ref="Y59:Y70" si="34">W59/AC59</f>
        <v>0.61704103703703705</v>
      </c>
      <c r="Z59" s="48"/>
      <c r="AA59" s="178">
        <f>AC59/12*$AI$5</f>
        <v>78750</v>
      </c>
      <c r="AB59" s="147"/>
      <c r="AC59" s="147">
        <v>135000</v>
      </c>
      <c r="AD59" s="183"/>
      <c r="AE59" s="183">
        <f>AC59-W59</f>
        <v>51699.459999999992</v>
      </c>
      <c r="AF59" s="49">
        <f t="shared" si="5"/>
        <v>-56250</v>
      </c>
      <c r="AG59" s="50">
        <f t="shared" ref="AG59:AG76" si="35">+AC59/12</f>
        <v>11250</v>
      </c>
      <c r="AH59" s="25"/>
    </row>
    <row r="60" spans="1:39" ht="16" x14ac:dyDescent="0.2">
      <c r="A60" s="32"/>
      <c r="B60" s="32"/>
      <c r="C60" s="32"/>
      <c r="D60" s="32"/>
      <c r="E60" s="32"/>
      <c r="F60" s="32" t="s">
        <v>177</v>
      </c>
      <c r="G60" s="129"/>
      <c r="H60" s="146">
        <v>963.35</v>
      </c>
      <c r="I60" s="147">
        <v>795.81</v>
      </c>
      <c r="J60" s="147"/>
      <c r="K60" s="147">
        <v>4774.76</v>
      </c>
      <c r="L60" s="147"/>
      <c r="M60" s="147"/>
      <c r="N60" s="147"/>
      <c r="O60" s="147"/>
      <c r="P60" s="147"/>
      <c r="Q60" s="147"/>
      <c r="R60" s="147"/>
      <c r="S60" s="257"/>
      <c r="T60" s="229">
        <f>AC60/12</f>
        <v>416.66666666666669</v>
      </c>
      <c r="U60" s="147">
        <f>W60-AA60</f>
        <v>3617.2533333333331</v>
      </c>
      <c r="V60" s="147"/>
      <c r="W60" s="148">
        <f t="shared" si="33"/>
        <v>6533.92</v>
      </c>
      <c r="X60" s="48"/>
      <c r="Y60" s="197">
        <f t="shared" si="34"/>
        <v>1.3067839999999999</v>
      </c>
      <c r="Z60" s="48"/>
      <c r="AA60" s="178">
        <f>AC60/12*$AI$5</f>
        <v>2916.666666666667</v>
      </c>
      <c r="AB60" s="147"/>
      <c r="AC60" s="147">
        <v>5000</v>
      </c>
      <c r="AD60" s="183"/>
      <c r="AE60" s="183">
        <f>AC60-W60</f>
        <v>-1533.92</v>
      </c>
      <c r="AF60" s="49"/>
      <c r="AG60" s="50"/>
      <c r="AH60" s="25"/>
    </row>
    <row r="61" spans="1:39" ht="16" x14ac:dyDescent="0.2">
      <c r="A61" s="32"/>
      <c r="B61" s="32"/>
      <c r="C61" s="32"/>
      <c r="D61" s="32"/>
      <c r="E61" s="105" t="s">
        <v>65</v>
      </c>
      <c r="F61" s="108"/>
      <c r="G61" s="131"/>
      <c r="H61" s="151">
        <f t="shared" ref="H61:O61" si="36">H59+H60</f>
        <v>20199.879999999997</v>
      </c>
      <c r="I61" s="152">
        <f t="shared" si="36"/>
        <v>19259.7</v>
      </c>
      <c r="J61" s="152">
        <f t="shared" si="36"/>
        <v>9987.27</v>
      </c>
      <c r="K61" s="152">
        <f t="shared" si="36"/>
        <v>18796.59</v>
      </c>
      <c r="L61" s="152">
        <f t="shared" si="36"/>
        <v>3230.33</v>
      </c>
      <c r="M61" s="152">
        <f t="shared" si="36"/>
        <v>12338.08</v>
      </c>
      <c r="N61" s="152">
        <f t="shared" si="36"/>
        <v>6022.61</v>
      </c>
      <c r="O61" s="152">
        <f t="shared" si="36"/>
        <v>0</v>
      </c>
      <c r="P61" s="152">
        <f>P60+P59</f>
        <v>0</v>
      </c>
      <c r="Q61" s="152">
        <f>Q59+Q60</f>
        <v>0</v>
      </c>
      <c r="R61" s="152">
        <f>R59+R60</f>
        <v>0</v>
      </c>
      <c r="S61" s="259">
        <f>S59+S60</f>
        <v>0</v>
      </c>
      <c r="T61" s="231"/>
      <c r="U61" s="152">
        <f>W61-AA61</f>
        <v>8167.7933333333349</v>
      </c>
      <c r="V61" s="152"/>
      <c r="W61" s="152">
        <f t="shared" si="33"/>
        <v>89834.46</v>
      </c>
      <c r="X61" s="103"/>
      <c r="Y61" s="200">
        <f t="shared" si="34"/>
        <v>0.64167471428571432</v>
      </c>
      <c r="Z61" s="103"/>
      <c r="AA61" s="152">
        <f>SUM(AA59:AA60)</f>
        <v>81666.666666666672</v>
      </c>
      <c r="AB61" s="152"/>
      <c r="AC61" s="152">
        <f>SUM(AC59:AC60)</f>
        <v>140000</v>
      </c>
      <c r="AD61" s="152"/>
      <c r="AE61" s="152">
        <f>SUM(AE59:AE60)</f>
        <v>50165.539999999994</v>
      </c>
      <c r="AF61" s="49">
        <f t="shared" si="5"/>
        <v>-58333.333333333328</v>
      </c>
      <c r="AG61" s="50"/>
      <c r="AH61" s="25"/>
    </row>
    <row r="62" spans="1:39" ht="29" customHeight="1" thickBot="1" x14ac:dyDescent="0.25">
      <c r="A62" s="32"/>
      <c r="B62" s="32"/>
      <c r="C62" s="32"/>
      <c r="D62" s="107" t="s">
        <v>66</v>
      </c>
      <c r="E62" s="107"/>
      <c r="F62" s="107"/>
      <c r="G62" s="137"/>
      <c r="H62" s="164">
        <f>ROUND(H52+H56+H61,5)</f>
        <v>61558.2</v>
      </c>
      <c r="I62" s="165">
        <f>ROUND(I52+I56+I61,5)</f>
        <v>60754.63</v>
      </c>
      <c r="J62" s="165">
        <f t="shared" ref="J62:S62" si="37">ROUND(J52+J56+J61,5)</f>
        <v>29310.35</v>
      </c>
      <c r="K62" s="165">
        <f>ROUND(K52+K56+K61,5)</f>
        <v>48391.67</v>
      </c>
      <c r="L62" s="165">
        <f>ROUND(L52+L56+L61,5)</f>
        <v>10575.81</v>
      </c>
      <c r="M62" s="165">
        <f t="shared" ref="M62" si="38">ROUND(M52+M56+M61,5)</f>
        <v>38260.19</v>
      </c>
      <c r="N62" s="165">
        <f t="shared" si="37"/>
        <v>23223.56</v>
      </c>
      <c r="O62" s="165">
        <f t="shared" si="37"/>
        <v>0</v>
      </c>
      <c r="P62" s="165">
        <f t="shared" si="37"/>
        <v>0</v>
      </c>
      <c r="Q62" s="165">
        <f t="shared" si="37"/>
        <v>0</v>
      </c>
      <c r="R62" s="165">
        <f t="shared" si="37"/>
        <v>0</v>
      </c>
      <c r="S62" s="267">
        <f t="shared" si="37"/>
        <v>0</v>
      </c>
      <c r="T62" s="239">
        <f t="shared" si="4"/>
        <v>37166.666666666664</v>
      </c>
      <c r="U62" s="165">
        <f t="shared" si="1"/>
        <v>11907.743333333288</v>
      </c>
      <c r="V62" s="165"/>
      <c r="W62" s="165">
        <f t="shared" si="33"/>
        <v>272074.40999999997</v>
      </c>
      <c r="X62" s="100"/>
      <c r="Y62" s="203">
        <f t="shared" si="34"/>
        <v>0.61003230941704034</v>
      </c>
      <c r="Z62" s="100"/>
      <c r="AA62" s="165">
        <f>SUM(AA52+AA56+AA61)</f>
        <v>260166.66666666669</v>
      </c>
      <c r="AB62" s="165">
        <f>SUM(AB52+AB56+AB61)</f>
        <v>0</v>
      </c>
      <c r="AC62" s="165">
        <f>SUM(AC52+AC56+AC61)</f>
        <v>446000</v>
      </c>
      <c r="AD62" s="185"/>
      <c r="AE62" s="165">
        <f>SUM(AE52+AE56+AE61)</f>
        <v>173925.58999999997</v>
      </c>
      <c r="AF62" s="49">
        <f t="shared" si="5"/>
        <v>-185833.33333333331</v>
      </c>
      <c r="AG62" s="50"/>
      <c r="AH62" s="25"/>
    </row>
    <row r="63" spans="1:39" ht="29" customHeight="1" x14ac:dyDescent="0.2">
      <c r="A63" s="32"/>
      <c r="B63" s="32"/>
      <c r="C63" s="32"/>
      <c r="D63" s="32" t="s">
        <v>67</v>
      </c>
      <c r="E63" s="32"/>
      <c r="F63" s="32"/>
      <c r="G63" s="129"/>
      <c r="H63" s="146">
        <v>465.04</v>
      </c>
      <c r="I63" s="147"/>
      <c r="J63" s="147">
        <v>430.06</v>
      </c>
      <c r="K63" s="147"/>
      <c r="L63" s="147">
        <v>518.32000000000005</v>
      </c>
      <c r="M63" s="147">
        <v>1732.93</v>
      </c>
      <c r="N63" s="147">
        <v>1003.56</v>
      </c>
      <c r="O63" s="147"/>
      <c r="P63" s="147"/>
      <c r="Q63" s="147"/>
      <c r="R63" s="147"/>
      <c r="S63" s="257"/>
      <c r="T63" s="229">
        <f>AC63/12</f>
        <v>1000</v>
      </c>
      <c r="U63" s="147">
        <f t="shared" si="1"/>
        <v>-2850.09</v>
      </c>
      <c r="V63" s="147"/>
      <c r="W63" s="148">
        <f t="shared" si="33"/>
        <v>4149.91</v>
      </c>
      <c r="X63" s="48"/>
      <c r="Y63" s="197">
        <f t="shared" si="34"/>
        <v>0.34582583333333333</v>
      </c>
      <c r="Z63" s="48"/>
      <c r="AA63" s="178">
        <f t="shared" ref="AA63:AA70" si="39">AC63/12*$AI$5</f>
        <v>7000</v>
      </c>
      <c r="AB63" s="147"/>
      <c r="AC63" s="147">
        <v>12000</v>
      </c>
      <c r="AD63" s="183"/>
      <c r="AE63" s="183">
        <f t="shared" ref="AE63:AE70" si="40">AC63-W63</f>
        <v>7850.09</v>
      </c>
      <c r="AF63" s="49">
        <f t="shared" si="5"/>
        <v>-5000</v>
      </c>
      <c r="AG63" s="50">
        <f t="shared" si="35"/>
        <v>1000</v>
      </c>
      <c r="AH63" s="25"/>
    </row>
    <row r="64" spans="1:39" ht="15" customHeight="1" x14ac:dyDescent="0.2">
      <c r="A64" s="32"/>
      <c r="B64" s="32"/>
      <c r="C64" s="32"/>
      <c r="D64" s="32" t="s">
        <v>68</v>
      </c>
      <c r="E64" s="32"/>
      <c r="F64" s="32"/>
      <c r="G64" s="129"/>
      <c r="H64" s="146"/>
      <c r="I64" s="147"/>
      <c r="J64" s="147"/>
      <c r="K64" s="147"/>
      <c r="L64" s="147"/>
      <c r="M64" s="147"/>
      <c r="N64" s="147"/>
      <c r="O64" s="147"/>
      <c r="P64" s="147"/>
      <c r="Q64" s="147"/>
      <c r="R64" s="147"/>
      <c r="S64" s="257"/>
      <c r="T64" s="229">
        <f t="shared" ref="T64:T70" si="41">AC64/12</f>
        <v>0</v>
      </c>
      <c r="U64" s="147">
        <f t="shared" si="1"/>
        <v>0</v>
      </c>
      <c r="V64" s="147"/>
      <c r="W64" s="148">
        <f t="shared" si="33"/>
        <v>0</v>
      </c>
      <c r="X64" s="48"/>
      <c r="Y64" s="209">
        <v>0</v>
      </c>
      <c r="Z64" s="48"/>
      <c r="AA64" s="178">
        <f t="shared" si="39"/>
        <v>0</v>
      </c>
      <c r="AB64" s="147"/>
      <c r="AC64" s="147"/>
      <c r="AD64" s="183"/>
      <c r="AE64" s="183">
        <f t="shared" si="40"/>
        <v>0</v>
      </c>
      <c r="AF64" s="49">
        <f t="shared" si="5"/>
        <v>0</v>
      </c>
      <c r="AG64" s="50">
        <f t="shared" si="35"/>
        <v>0</v>
      </c>
      <c r="AH64" s="25"/>
    </row>
    <row r="65" spans="1:34" ht="15" customHeight="1" x14ac:dyDescent="0.2">
      <c r="A65" s="32"/>
      <c r="B65" s="32"/>
      <c r="C65" s="32"/>
      <c r="D65" s="32" t="s">
        <v>179</v>
      </c>
      <c r="E65" s="32"/>
      <c r="F65" s="32"/>
      <c r="G65" s="129"/>
      <c r="H65" s="146"/>
      <c r="I65" s="147"/>
      <c r="J65" s="147"/>
      <c r="K65" s="147"/>
      <c r="L65" s="147"/>
      <c r="M65" s="147"/>
      <c r="N65" s="147"/>
      <c r="O65" s="147"/>
      <c r="P65" s="147"/>
      <c r="Q65" s="147"/>
      <c r="R65" s="147"/>
      <c r="S65" s="257"/>
      <c r="T65" s="229">
        <f t="shared" si="41"/>
        <v>416.66666666666669</v>
      </c>
      <c r="U65" s="147">
        <f t="shared" si="1"/>
        <v>-2916.666666666667</v>
      </c>
      <c r="V65" s="147"/>
      <c r="W65" s="148">
        <f t="shared" si="33"/>
        <v>0</v>
      </c>
      <c r="X65" s="48"/>
      <c r="Y65" s="197">
        <v>0</v>
      </c>
      <c r="Z65" s="48"/>
      <c r="AA65" s="178">
        <f t="shared" si="39"/>
        <v>2916.666666666667</v>
      </c>
      <c r="AB65" s="147"/>
      <c r="AC65" s="147">
        <v>5000</v>
      </c>
      <c r="AD65" s="183"/>
      <c r="AE65" s="183">
        <f t="shared" si="40"/>
        <v>5000</v>
      </c>
      <c r="AF65" s="49"/>
      <c r="AG65" s="50"/>
      <c r="AH65" s="25"/>
    </row>
    <row r="66" spans="1:34" ht="15" customHeight="1" x14ac:dyDescent="0.2">
      <c r="A66" s="32"/>
      <c r="B66" s="32"/>
      <c r="C66" s="32"/>
      <c r="D66" s="32" t="s">
        <v>69</v>
      </c>
      <c r="E66" s="32"/>
      <c r="F66" s="32"/>
      <c r="G66" s="129"/>
      <c r="H66" s="146"/>
      <c r="I66" s="147"/>
      <c r="J66" s="147"/>
      <c r="K66" s="147"/>
      <c r="L66" s="147"/>
      <c r="M66" s="147"/>
      <c r="N66" s="147"/>
      <c r="O66" s="147"/>
      <c r="P66" s="147"/>
      <c r="Q66" s="147"/>
      <c r="R66" s="147"/>
      <c r="S66" s="257"/>
      <c r="T66" s="229">
        <f t="shared" si="41"/>
        <v>0</v>
      </c>
      <c r="U66" s="147">
        <f t="shared" si="1"/>
        <v>0</v>
      </c>
      <c r="V66" s="147"/>
      <c r="W66" s="148">
        <f t="shared" si="33"/>
        <v>0</v>
      </c>
      <c r="X66" s="48"/>
      <c r="Y66" s="209">
        <v>0</v>
      </c>
      <c r="Z66" s="48"/>
      <c r="AA66" s="178">
        <f t="shared" si="39"/>
        <v>0</v>
      </c>
      <c r="AB66" s="147"/>
      <c r="AC66" s="147">
        <v>0</v>
      </c>
      <c r="AD66" s="183"/>
      <c r="AE66" s="183">
        <f t="shared" si="40"/>
        <v>0</v>
      </c>
      <c r="AF66" s="49">
        <f t="shared" si="5"/>
        <v>0</v>
      </c>
      <c r="AG66" s="50">
        <f t="shared" si="35"/>
        <v>0</v>
      </c>
      <c r="AH66" s="25"/>
    </row>
    <row r="67" spans="1:34" ht="16" x14ac:dyDescent="0.2">
      <c r="A67" s="32"/>
      <c r="B67" s="32"/>
      <c r="C67" s="32"/>
      <c r="D67" s="32" t="s">
        <v>70</v>
      </c>
      <c r="E67" s="32"/>
      <c r="F67" s="32"/>
      <c r="G67" s="129"/>
      <c r="H67" s="146"/>
      <c r="I67" s="147">
        <v>2462.52</v>
      </c>
      <c r="J67" s="147">
        <v>6302.53</v>
      </c>
      <c r="K67" s="147">
        <v>512.01</v>
      </c>
      <c r="L67" s="147">
        <v>844.81</v>
      </c>
      <c r="M67" s="147"/>
      <c r="N67" s="147"/>
      <c r="O67" s="147"/>
      <c r="P67" s="147"/>
      <c r="Q67" s="147"/>
      <c r="R67" s="147"/>
      <c r="S67" s="257"/>
      <c r="T67" s="229">
        <f t="shared" si="41"/>
        <v>1250</v>
      </c>
      <c r="U67" s="147">
        <f t="shared" si="1"/>
        <v>1371.869999999999</v>
      </c>
      <c r="V67" s="147"/>
      <c r="W67" s="148">
        <f t="shared" si="33"/>
        <v>10121.869999999999</v>
      </c>
      <c r="X67" s="48"/>
      <c r="Y67" s="197">
        <f t="shared" si="34"/>
        <v>0.6747913333333333</v>
      </c>
      <c r="Z67" s="48"/>
      <c r="AA67" s="178">
        <f t="shared" si="39"/>
        <v>8750</v>
      </c>
      <c r="AB67" s="147"/>
      <c r="AC67" s="147">
        <v>15000</v>
      </c>
      <c r="AD67" s="183"/>
      <c r="AE67" s="183">
        <f t="shared" si="40"/>
        <v>4878.130000000001</v>
      </c>
      <c r="AF67" s="49">
        <f t="shared" si="5"/>
        <v>-6250</v>
      </c>
      <c r="AG67" s="50">
        <f t="shared" si="35"/>
        <v>1250</v>
      </c>
      <c r="AH67" s="25"/>
    </row>
    <row r="68" spans="1:34" ht="16" x14ac:dyDescent="0.2">
      <c r="A68" s="32"/>
      <c r="B68" s="32"/>
      <c r="C68" s="32"/>
      <c r="D68" s="32" t="s">
        <v>71</v>
      </c>
      <c r="E68" s="32"/>
      <c r="F68" s="32"/>
      <c r="G68" s="129"/>
      <c r="H68" s="146"/>
      <c r="I68" s="147"/>
      <c r="J68" s="147"/>
      <c r="K68" s="147"/>
      <c r="L68" s="147"/>
      <c r="M68" s="147"/>
      <c r="N68" s="147"/>
      <c r="O68" s="147"/>
      <c r="P68" s="147"/>
      <c r="Q68" s="147"/>
      <c r="R68" s="147"/>
      <c r="S68" s="257"/>
      <c r="T68" s="229">
        <f t="shared" si="41"/>
        <v>416.66666666666669</v>
      </c>
      <c r="U68" s="147">
        <f t="shared" si="1"/>
        <v>-2916.666666666667</v>
      </c>
      <c r="V68" s="147"/>
      <c r="W68" s="148">
        <f t="shared" si="33"/>
        <v>0</v>
      </c>
      <c r="X68" s="48"/>
      <c r="Y68" s="197">
        <f t="shared" si="34"/>
        <v>0</v>
      </c>
      <c r="Z68" s="48"/>
      <c r="AA68" s="178">
        <f t="shared" si="39"/>
        <v>2916.666666666667</v>
      </c>
      <c r="AB68" s="147"/>
      <c r="AC68" s="147">
        <v>5000</v>
      </c>
      <c r="AD68" s="183"/>
      <c r="AE68" s="183">
        <f t="shared" si="40"/>
        <v>5000</v>
      </c>
      <c r="AF68" s="49">
        <f t="shared" si="5"/>
        <v>-2083.333333333333</v>
      </c>
      <c r="AG68" s="50">
        <f t="shared" si="35"/>
        <v>416.66666666666669</v>
      </c>
      <c r="AH68" s="25"/>
    </row>
    <row r="69" spans="1:34" ht="16" x14ac:dyDescent="0.2">
      <c r="A69" s="32"/>
      <c r="B69" s="32"/>
      <c r="C69" s="32"/>
      <c r="D69" s="32" t="s">
        <v>72</v>
      </c>
      <c r="E69" s="32"/>
      <c r="F69" s="32"/>
      <c r="G69" s="129"/>
      <c r="H69" s="146"/>
      <c r="I69" s="147"/>
      <c r="J69" s="147"/>
      <c r="K69" s="147"/>
      <c r="L69" s="147"/>
      <c r="M69" s="147"/>
      <c r="N69" s="147"/>
      <c r="O69" s="147"/>
      <c r="P69" s="147"/>
      <c r="Q69" s="147"/>
      <c r="R69" s="147"/>
      <c r="S69" s="257"/>
      <c r="T69" s="229">
        <f t="shared" si="41"/>
        <v>0</v>
      </c>
      <c r="U69" s="147">
        <f t="shared" si="1"/>
        <v>0</v>
      </c>
      <c r="V69" s="147"/>
      <c r="W69" s="148">
        <f t="shared" si="33"/>
        <v>0</v>
      </c>
      <c r="X69" s="48"/>
      <c r="Y69" s="197" t="e">
        <f t="shared" si="34"/>
        <v>#DIV/0!</v>
      </c>
      <c r="Z69" s="48"/>
      <c r="AA69" s="178">
        <f t="shared" si="39"/>
        <v>0</v>
      </c>
      <c r="AB69" s="147"/>
      <c r="AC69" s="147">
        <v>0</v>
      </c>
      <c r="AD69" s="183"/>
      <c r="AE69" s="183">
        <f t="shared" si="40"/>
        <v>0</v>
      </c>
      <c r="AF69" s="49">
        <f t="shared" si="5"/>
        <v>0</v>
      </c>
      <c r="AG69" s="50">
        <f t="shared" si="35"/>
        <v>0</v>
      </c>
      <c r="AH69" s="25"/>
    </row>
    <row r="70" spans="1:34" ht="17" thickBot="1" x14ac:dyDescent="0.25">
      <c r="A70" s="32"/>
      <c r="B70" s="32"/>
      <c r="C70" s="32"/>
      <c r="D70" s="32" t="s">
        <v>211</v>
      </c>
      <c r="E70" s="32"/>
      <c r="F70" s="32"/>
      <c r="G70" s="129"/>
      <c r="H70" s="146"/>
      <c r="I70" s="147"/>
      <c r="J70" s="147"/>
      <c r="K70" s="147"/>
      <c r="L70" s="147"/>
      <c r="M70" s="147"/>
      <c r="N70" s="147"/>
      <c r="O70" s="147"/>
      <c r="P70" s="147"/>
      <c r="Q70" s="147"/>
      <c r="R70" s="147"/>
      <c r="S70" s="257"/>
      <c r="T70" s="229">
        <f t="shared" si="41"/>
        <v>0</v>
      </c>
      <c r="U70" s="147">
        <f t="shared" si="1"/>
        <v>0</v>
      </c>
      <c r="V70" s="147"/>
      <c r="W70" s="148">
        <f t="shared" si="33"/>
        <v>0</v>
      </c>
      <c r="X70" s="48"/>
      <c r="Y70" s="197" t="e">
        <f t="shared" si="34"/>
        <v>#DIV/0!</v>
      </c>
      <c r="Z70" s="48"/>
      <c r="AA70" s="178">
        <f t="shared" si="39"/>
        <v>0</v>
      </c>
      <c r="AB70" s="147"/>
      <c r="AC70" s="147">
        <v>0</v>
      </c>
      <c r="AD70" s="183"/>
      <c r="AE70" s="183">
        <f t="shared" si="40"/>
        <v>0</v>
      </c>
      <c r="AF70" s="49"/>
      <c r="AG70" s="50"/>
      <c r="AH70" s="25"/>
    </row>
    <row r="71" spans="1:34" ht="18" thickTop="1" thickBot="1" x14ac:dyDescent="0.25">
      <c r="A71" s="32"/>
      <c r="B71" s="32"/>
      <c r="C71" s="110" t="s">
        <v>73</v>
      </c>
      <c r="D71" s="110"/>
      <c r="E71" s="110"/>
      <c r="F71" s="110"/>
      <c r="G71" s="138"/>
      <c r="H71" s="166">
        <f>SUM(H62:H70)</f>
        <v>62023.24</v>
      </c>
      <c r="I71" s="167">
        <f>SUM(I62:I70)</f>
        <v>63217.149999999994</v>
      </c>
      <c r="J71" s="167">
        <f t="shared" ref="J71:N71" si="42">SUM(J62:J70)</f>
        <v>36042.94</v>
      </c>
      <c r="K71" s="167">
        <f>SUM(K62:K70)</f>
        <v>48903.68</v>
      </c>
      <c r="L71" s="167">
        <f>SUM(L62:L70)</f>
        <v>11938.939999999999</v>
      </c>
      <c r="M71" s="167">
        <f t="shared" ref="M71" si="43">SUM(M62:M70)</f>
        <v>39993.120000000003</v>
      </c>
      <c r="N71" s="167">
        <f t="shared" si="42"/>
        <v>24227.120000000003</v>
      </c>
      <c r="O71" s="167">
        <f t="shared" ref="O71:S71" si="44">SUM(O62:O69)</f>
        <v>0</v>
      </c>
      <c r="P71" s="167">
        <f t="shared" si="44"/>
        <v>0</v>
      </c>
      <c r="Q71" s="167">
        <f t="shared" si="44"/>
        <v>0</v>
      </c>
      <c r="R71" s="167">
        <f t="shared" si="44"/>
        <v>0</v>
      </c>
      <c r="S71" s="268">
        <f t="shared" si="44"/>
        <v>0</v>
      </c>
      <c r="T71" s="240">
        <f t="shared" ref="T71:T113" si="45">AC71/12</f>
        <v>40250</v>
      </c>
      <c r="U71" s="167">
        <f t="shared" si="1"/>
        <v>4596.1899999999441</v>
      </c>
      <c r="V71" s="167"/>
      <c r="W71" s="167">
        <f t="shared" si="33"/>
        <v>286346.19</v>
      </c>
      <c r="X71" s="111"/>
      <c r="Y71" s="204">
        <f t="shared" ref="Y71" si="46">W71/AC71</f>
        <v>0.59284925465838512</v>
      </c>
      <c r="Z71" s="111"/>
      <c r="AA71" s="167">
        <f>SUM(AA62:AA70)</f>
        <v>281750.00000000006</v>
      </c>
      <c r="AB71" s="167">
        <f>SUM(AB62:AB69)</f>
        <v>0</v>
      </c>
      <c r="AC71" s="167">
        <f>SUM(AC62:AC70)</f>
        <v>483000</v>
      </c>
      <c r="AD71" s="186"/>
      <c r="AE71" s="167">
        <f>SUM(AE62:AE70)</f>
        <v>196653.80999999997</v>
      </c>
      <c r="AF71" s="49">
        <f t="shared" si="5"/>
        <v>-201249.99999999994</v>
      </c>
      <c r="AG71" s="50"/>
      <c r="AH71" s="25"/>
    </row>
    <row r="72" spans="1:34" ht="29" customHeight="1" thickTop="1" x14ac:dyDescent="0.2">
      <c r="A72" s="32"/>
      <c r="B72" s="32"/>
      <c r="C72" s="32" t="s">
        <v>74</v>
      </c>
      <c r="D72" s="32"/>
      <c r="E72" s="32"/>
      <c r="F72" s="32"/>
      <c r="G72" s="129"/>
      <c r="H72" s="143"/>
      <c r="I72" s="48"/>
      <c r="J72" s="48"/>
      <c r="K72" s="48"/>
      <c r="L72" s="48"/>
      <c r="M72" s="48"/>
      <c r="N72" s="48"/>
      <c r="O72" s="48"/>
      <c r="P72" s="48"/>
      <c r="Q72" s="48"/>
      <c r="R72" s="48"/>
      <c r="S72" s="261"/>
      <c r="T72" s="234"/>
      <c r="U72" s="48"/>
      <c r="V72" s="48"/>
      <c r="W72" s="48"/>
      <c r="X72" s="48"/>
      <c r="Y72" s="48"/>
      <c r="Z72" s="48"/>
      <c r="AA72" s="147"/>
      <c r="AB72" s="147"/>
      <c r="AC72" s="147"/>
      <c r="AD72" s="183"/>
      <c r="AE72" s="183"/>
      <c r="AF72" s="49">
        <f t="shared" si="5"/>
        <v>0</v>
      </c>
      <c r="AG72" s="50">
        <f t="shared" si="35"/>
        <v>0</v>
      </c>
      <c r="AH72" s="25"/>
    </row>
    <row r="73" spans="1:34" ht="29" customHeight="1" x14ac:dyDescent="0.2">
      <c r="A73" s="32"/>
      <c r="B73" s="32"/>
      <c r="C73" s="32"/>
      <c r="D73" s="32" t="s">
        <v>241</v>
      </c>
      <c r="E73" s="32"/>
      <c r="F73" s="32"/>
      <c r="G73" s="129"/>
      <c r="H73" s="143"/>
      <c r="I73" s="48"/>
      <c r="J73" s="48"/>
      <c r="K73" s="48">
        <v>181.57</v>
      </c>
      <c r="L73" s="48"/>
      <c r="M73" s="48"/>
      <c r="N73" s="48"/>
      <c r="O73" s="48"/>
      <c r="P73" s="48"/>
      <c r="Q73" s="48"/>
      <c r="R73" s="48"/>
      <c r="S73" s="261"/>
      <c r="T73" s="229">
        <f>AC73/12</f>
        <v>0</v>
      </c>
      <c r="U73" s="147">
        <f t="shared" ref="U73:U139" si="47">W73-AA73</f>
        <v>181.57</v>
      </c>
      <c r="V73" s="48"/>
      <c r="W73" s="148">
        <f>SUM(H73:S73)</f>
        <v>181.57</v>
      </c>
      <c r="X73" s="48"/>
      <c r="Y73" s="48"/>
      <c r="Z73" s="48"/>
      <c r="AA73" s="178">
        <f>AC73/12*$AI$5</f>
        <v>0</v>
      </c>
      <c r="AB73" s="147"/>
      <c r="AC73" s="147">
        <v>0</v>
      </c>
      <c r="AD73" s="183"/>
      <c r="AE73" s="183"/>
      <c r="AF73" s="49"/>
      <c r="AG73" s="50"/>
      <c r="AH73" s="25"/>
    </row>
    <row r="74" spans="1:34" ht="16" x14ac:dyDescent="0.2">
      <c r="A74" s="32"/>
      <c r="B74" s="32"/>
      <c r="C74" s="32"/>
      <c r="D74" s="32" t="s">
        <v>170</v>
      </c>
      <c r="E74" s="32"/>
      <c r="F74" s="32"/>
      <c r="G74" s="129"/>
      <c r="H74" s="146">
        <v>16626.669999999998</v>
      </c>
      <c r="I74" s="147">
        <v>16626.669999999998</v>
      </c>
      <c r="J74" s="147">
        <v>16626.669999999998</v>
      </c>
      <c r="K74" s="147">
        <v>16626.669999999998</v>
      </c>
      <c r="L74" s="147">
        <v>16626.669999999998</v>
      </c>
      <c r="M74" s="147">
        <v>16626.669999999998</v>
      </c>
      <c r="N74" s="147">
        <v>16626.669999999998</v>
      </c>
      <c r="O74" s="147"/>
      <c r="P74" s="147"/>
      <c r="Q74" s="147"/>
      <c r="R74" s="147"/>
      <c r="S74" s="257"/>
      <c r="T74" s="229">
        <f>AC74/12</f>
        <v>14833.333333333334</v>
      </c>
      <c r="U74" s="147">
        <f t="shared" si="47"/>
        <v>12553.356666666645</v>
      </c>
      <c r="V74" s="147"/>
      <c r="W74" s="148">
        <f>SUM(H74:S74)</f>
        <v>116386.68999999999</v>
      </c>
      <c r="X74" s="48"/>
      <c r="Y74" s="197">
        <f t="shared" ref="Y74" si="48">W74/AC74</f>
        <v>0.653857808988764</v>
      </c>
      <c r="Z74" s="48"/>
      <c r="AA74" s="178">
        <f>AC74/12*$AI$5</f>
        <v>103833.33333333334</v>
      </c>
      <c r="AB74" s="147"/>
      <c r="AC74" s="147">
        <v>178000</v>
      </c>
      <c r="AD74" s="183"/>
      <c r="AE74" s="183">
        <f>AC74-W74</f>
        <v>61613.310000000012</v>
      </c>
      <c r="AF74" s="49">
        <f t="shared" si="5"/>
        <v>-74166.666666666657</v>
      </c>
      <c r="AG74" s="50">
        <f t="shared" si="35"/>
        <v>14833.333333333334</v>
      </c>
      <c r="AH74" s="25"/>
    </row>
    <row r="75" spans="1:34" ht="16" x14ac:dyDescent="0.2">
      <c r="A75" s="32"/>
      <c r="B75" s="32"/>
      <c r="C75" s="32"/>
      <c r="D75" s="32" t="s">
        <v>75</v>
      </c>
      <c r="E75" s="32"/>
      <c r="F75" s="32"/>
      <c r="G75" s="129"/>
      <c r="H75" s="146"/>
      <c r="I75" s="147"/>
      <c r="J75" s="147"/>
      <c r="K75" s="147"/>
      <c r="L75" s="147"/>
      <c r="M75" s="147"/>
      <c r="N75" s="147"/>
      <c r="O75" s="147"/>
      <c r="P75" s="147"/>
      <c r="Q75" s="147"/>
      <c r="R75" s="147"/>
      <c r="S75" s="257"/>
      <c r="T75" s="229"/>
      <c r="U75" s="147">
        <f t="shared" si="47"/>
        <v>0</v>
      </c>
      <c r="V75" s="147"/>
      <c r="W75" s="148">
        <f>SUM(H75:S75)</f>
        <v>0</v>
      </c>
      <c r="X75" s="48"/>
      <c r="Y75" s="197">
        <v>0</v>
      </c>
      <c r="Z75" s="48"/>
      <c r="AA75" s="178">
        <f>AC75/12*$AI$5</f>
        <v>0</v>
      </c>
      <c r="AB75" s="147"/>
      <c r="AC75" s="147">
        <v>0</v>
      </c>
      <c r="AD75" s="183"/>
      <c r="AE75" s="183">
        <f>AC75-W75</f>
        <v>0</v>
      </c>
      <c r="AF75" s="49">
        <f t="shared" si="5"/>
        <v>0</v>
      </c>
      <c r="AG75" s="50">
        <f t="shared" si="35"/>
        <v>0</v>
      </c>
      <c r="AH75" s="25"/>
    </row>
    <row r="76" spans="1:34" ht="17" thickBot="1" x14ac:dyDescent="0.25">
      <c r="A76" s="32"/>
      <c r="B76" s="32"/>
      <c r="C76" s="32"/>
      <c r="D76" s="32" t="s">
        <v>76</v>
      </c>
      <c r="E76" s="32"/>
      <c r="F76" s="32"/>
      <c r="G76" s="129"/>
      <c r="H76" s="146">
        <v>1753.17</v>
      </c>
      <c r="I76" s="147">
        <v>1753.17</v>
      </c>
      <c r="J76" s="147">
        <v>1753.17</v>
      </c>
      <c r="K76" s="147">
        <v>1753.17</v>
      </c>
      <c r="L76" s="147"/>
      <c r="M76" s="147"/>
      <c r="N76" s="147"/>
      <c r="O76" s="147"/>
      <c r="P76" s="147"/>
      <c r="Q76" s="147"/>
      <c r="R76" s="147"/>
      <c r="S76" s="257"/>
      <c r="T76" s="229">
        <f>AC76/12</f>
        <v>1791.6666666666667</v>
      </c>
      <c r="U76" s="147">
        <f t="shared" si="47"/>
        <v>-5528.9866666666676</v>
      </c>
      <c r="V76" s="147"/>
      <c r="W76" s="148">
        <f>SUM(H76:S76)</f>
        <v>7012.68</v>
      </c>
      <c r="X76" s="48"/>
      <c r="Y76" s="197">
        <f>W76/AC76</f>
        <v>0.32617116279069769</v>
      </c>
      <c r="Z76" s="48"/>
      <c r="AA76" s="178">
        <f>AC76/12*$AI$5</f>
        <v>12541.666666666668</v>
      </c>
      <c r="AB76" s="147"/>
      <c r="AC76" s="147">
        <v>21500</v>
      </c>
      <c r="AD76" s="183"/>
      <c r="AE76" s="183">
        <f>AC76-W76</f>
        <v>14487.32</v>
      </c>
      <c r="AF76" s="49">
        <f t="shared" si="5"/>
        <v>-8958.3333333333321</v>
      </c>
      <c r="AG76" s="50">
        <f t="shared" si="35"/>
        <v>1791.6666666666667</v>
      </c>
      <c r="AH76" s="25"/>
    </row>
    <row r="77" spans="1:34" ht="17" thickBot="1" x14ac:dyDescent="0.25">
      <c r="A77" s="32"/>
      <c r="B77" s="32"/>
      <c r="C77" s="104" t="s">
        <v>77</v>
      </c>
      <c r="D77" s="104"/>
      <c r="E77" s="104"/>
      <c r="F77" s="104"/>
      <c r="G77" s="132"/>
      <c r="H77" s="157">
        <f>SUM(H72:H76)</f>
        <v>18379.839999999997</v>
      </c>
      <c r="I77" s="155">
        <f>SUM(I72:I76)</f>
        <v>18379.839999999997</v>
      </c>
      <c r="J77" s="155">
        <f>SUM(J72:J76)</f>
        <v>18379.839999999997</v>
      </c>
      <c r="K77" s="155">
        <f>SUM(K72:K76)</f>
        <v>18561.409999999996</v>
      </c>
      <c r="L77" s="155">
        <f>SUM(L72:L76)</f>
        <v>16626.669999999998</v>
      </c>
      <c r="M77" s="155">
        <f t="shared" ref="M77" si="49">SUM(M72:M76)</f>
        <v>16626.669999999998</v>
      </c>
      <c r="N77" s="155">
        <f t="shared" ref="N77:S77" si="50">SUM(N72:N76)</f>
        <v>16626.669999999998</v>
      </c>
      <c r="O77" s="155">
        <f t="shared" si="50"/>
        <v>0</v>
      </c>
      <c r="P77" s="155">
        <f t="shared" si="50"/>
        <v>0</v>
      </c>
      <c r="Q77" s="155">
        <f t="shared" si="50"/>
        <v>0</v>
      </c>
      <c r="R77" s="155">
        <f t="shared" si="50"/>
        <v>0</v>
      </c>
      <c r="S77" s="262">
        <f t="shared" si="50"/>
        <v>0</v>
      </c>
      <c r="T77" s="233">
        <f>AC77/12</f>
        <v>16625</v>
      </c>
      <c r="U77" s="155">
        <f t="shared" si="47"/>
        <v>7205.9399999999732</v>
      </c>
      <c r="V77" s="155"/>
      <c r="W77" s="156">
        <f>SUM(H77:S77)</f>
        <v>123580.93999999999</v>
      </c>
      <c r="X77" s="53"/>
      <c r="Y77" s="199">
        <f>W77/AC77</f>
        <v>0.6194533333333333</v>
      </c>
      <c r="Z77" s="53"/>
      <c r="AA77" s="180">
        <f>SUM(AA74:AA76)</f>
        <v>116375.00000000001</v>
      </c>
      <c r="AB77" s="155">
        <f>SUM(AB74:AB76)</f>
        <v>0</v>
      </c>
      <c r="AC77" s="155">
        <f>SUM(AC74:AC76)</f>
        <v>199500</v>
      </c>
      <c r="AD77" s="187"/>
      <c r="AE77" s="155">
        <f>SUM(AE74:AE76)</f>
        <v>76100.63</v>
      </c>
      <c r="AF77" s="49">
        <f t="shared" ref="AF77:AF144" si="51">AA77-AC77</f>
        <v>-83124.999999999985</v>
      </c>
      <c r="AG77" s="50"/>
      <c r="AH77" s="25"/>
    </row>
    <row r="78" spans="1:34" ht="29" customHeight="1" x14ac:dyDescent="0.2">
      <c r="A78" s="32"/>
      <c r="B78" s="32"/>
      <c r="C78" s="32" t="s">
        <v>78</v>
      </c>
      <c r="D78" s="32"/>
      <c r="E78" s="32"/>
      <c r="F78" s="32"/>
      <c r="G78" s="129"/>
      <c r="H78" s="146"/>
      <c r="I78" s="147"/>
      <c r="J78" s="147"/>
      <c r="K78" s="147"/>
      <c r="L78" s="147"/>
      <c r="M78" s="147"/>
      <c r="N78" s="147"/>
      <c r="O78" s="147"/>
      <c r="P78" s="147"/>
      <c r="Q78" s="147"/>
      <c r="R78" s="147"/>
      <c r="S78" s="257"/>
      <c r="T78" s="229"/>
      <c r="U78" s="147" t="s">
        <v>178</v>
      </c>
      <c r="V78" s="147"/>
      <c r="W78" s="147" t="s">
        <v>178</v>
      </c>
      <c r="X78" s="48"/>
      <c r="Y78" s="197"/>
      <c r="Z78" s="48"/>
      <c r="AA78" s="147"/>
      <c r="AB78" s="147"/>
      <c r="AC78" s="147"/>
      <c r="AD78" s="183"/>
      <c r="AE78" s="183"/>
      <c r="AF78" s="49">
        <f t="shared" si="51"/>
        <v>0</v>
      </c>
      <c r="AG78" s="50">
        <f t="shared" ref="AG78:AG86" si="52">+AC78/12</f>
        <v>0</v>
      </c>
      <c r="AH78" s="25"/>
    </row>
    <row r="79" spans="1:34" ht="16" x14ac:dyDescent="0.2">
      <c r="A79" s="32"/>
      <c r="B79" s="32"/>
      <c r="C79" s="32"/>
      <c r="D79" s="32" t="s">
        <v>79</v>
      </c>
      <c r="E79" s="32"/>
      <c r="F79" s="32"/>
      <c r="G79" s="129"/>
      <c r="H79" s="146"/>
      <c r="I79" s="147"/>
      <c r="J79" s="147"/>
      <c r="K79" s="147">
        <v>206</v>
      </c>
      <c r="L79" s="147">
        <v>439.79</v>
      </c>
      <c r="M79" s="147"/>
      <c r="N79" s="147"/>
      <c r="O79" s="147"/>
      <c r="P79" s="147"/>
      <c r="Q79" s="147"/>
      <c r="R79" s="147"/>
      <c r="S79" s="257"/>
      <c r="T79" s="229">
        <v>0</v>
      </c>
      <c r="U79" s="147">
        <f t="shared" si="47"/>
        <v>645.79</v>
      </c>
      <c r="V79" s="147"/>
      <c r="W79" s="148">
        <f t="shared" ref="W79:W87" si="53">SUM(H79:S79)</f>
        <v>645.79</v>
      </c>
      <c r="X79" s="48"/>
      <c r="Y79" s="197" t="e">
        <f t="shared" ref="Y79:Y87" si="54">W79/AC79</f>
        <v>#DIV/0!</v>
      </c>
      <c r="Z79" s="48"/>
      <c r="AA79" s="178">
        <f>AC79/12*$AI$5</f>
        <v>0</v>
      </c>
      <c r="AB79" s="147"/>
      <c r="AC79" s="147">
        <v>0</v>
      </c>
      <c r="AD79" s="183"/>
      <c r="AE79" s="183">
        <f t="shared" ref="AE79:AE143" si="55">AC79-W79</f>
        <v>-645.79</v>
      </c>
      <c r="AF79" s="49">
        <f t="shared" si="51"/>
        <v>0</v>
      </c>
      <c r="AG79" s="50">
        <f t="shared" si="52"/>
        <v>0</v>
      </c>
      <c r="AH79" s="25"/>
    </row>
    <row r="80" spans="1:34" ht="16" x14ac:dyDescent="0.2">
      <c r="A80" s="32"/>
      <c r="B80" s="32"/>
      <c r="C80" s="32"/>
      <c r="D80" s="32" t="s">
        <v>80</v>
      </c>
      <c r="E80" s="32"/>
      <c r="F80" s="32"/>
      <c r="G80" s="129"/>
      <c r="H80" s="146"/>
      <c r="I80" s="147"/>
      <c r="J80" s="147"/>
      <c r="K80" s="147"/>
      <c r="L80" s="147"/>
      <c r="M80" s="147">
        <v>36000</v>
      </c>
      <c r="N80" s="147"/>
      <c r="O80" s="147"/>
      <c r="P80" s="147"/>
      <c r="Q80" s="147"/>
      <c r="R80" s="147"/>
      <c r="S80" s="257"/>
      <c r="T80" s="229">
        <f>AC80/12</f>
        <v>6666.666666666667</v>
      </c>
      <c r="U80" s="147">
        <f t="shared" si="47"/>
        <v>-10666.666666666672</v>
      </c>
      <c r="V80" s="147"/>
      <c r="W80" s="148">
        <f t="shared" si="53"/>
        <v>36000</v>
      </c>
      <c r="X80" s="48"/>
      <c r="Y80" s="197">
        <f t="shared" si="54"/>
        <v>0.45</v>
      </c>
      <c r="Z80" s="48"/>
      <c r="AA80" s="178">
        <f t="shared" ref="AA80:AA85" si="56">AC80/12*$AI$5</f>
        <v>46666.666666666672</v>
      </c>
      <c r="AB80" s="147"/>
      <c r="AC80" s="147">
        <v>80000</v>
      </c>
      <c r="AD80" s="183"/>
      <c r="AE80" s="183">
        <f t="shared" si="55"/>
        <v>44000</v>
      </c>
      <c r="AF80" s="49">
        <f t="shared" si="51"/>
        <v>-33333.333333333328</v>
      </c>
      <c r="AG80" s="50">
        <f t="shared" si="52"/>
        <v>6666.666666666667</v>
      </c>
      <c r="AH80" s="25"/>
    </row>
    <row r="81" spans="1:34" ht="16" x14ac:dyDescent="0.2">
      <c r="A81" s="32"/>
      <c r="B81" s="32"/>
      <c r="C81" s="32"/>
      <c r="D81" s="32" t="s">
        <v>196</v>
      </c>
      <c r="E81" s="32"/>
      <c r="F81" s="32"/>
      <c r="G81" s="129"/>
      <c r="H81" s="146"/>
      <c r="I81" s="147"/>
      <c r="J81" s="147"/>
      <c r="K81" s="147"/>
      <c r="L81" s="147"/>
      <c r="M81" s="147"/>
      <c r="N81" s="147"/>
      <c r="O81" s="147"/>
      <c r="P81" s="147"/>
      <c r="Q81" s="147"/>
      <c r="R81" s="147"/>
      <c r="S81" s="257"/>
      <c r="T81" s="229"/>
      <c r="U81" s="147">
        <f>W81-AA81</f>
        <v>0</v>
      </c>
      <c r="V81" s="147"/>
      <c r="W81" s="148">
        <f t="shared" si="53"/>
        <v>0</v>
      </c>
      <c r="X81" s="48"/>
      <c r="Y81" s="197" t="e">
        <f t="shared" si="54"/>
        <v>#DIV/0!</v>
      </c>
      <c r="Z81" s="48"/>
      <c r="AA81" s="178">
        <f t="shared" si="56"/>
        <v>0</v>
      </c>
      <c r="AB81" s="147"/>
      <c r="AC81" s="147"/>
      <c r="AD81" s="183"/>
      <c r="AE81" s="183">
        <f>AC81-W81</f>
        <v>0</v>
      </c>
      <c r="AF81" s="49">
        <f>AA81-AC81</f>
        <v>0</v>
      </c>
      <c r="AG81" s="50">
        <f>+AC81/12</f>
        <v>0</v>
      </c>
      <c r="AH81" s="25"/>
    </row>
    <row r="82" spans="1:34" ht="16" x14ac:dyDescent="0.2">
      <c r="A82" s="32"/>
      <c r="B82" s="32"/>
      <c r="C82" s="32"/>
      <c r="D82" s="32" t="s">
        <v>81</v>
      </c>
      <c r="E82" s="32"/>
      <c r="F82" s="32"/>
      <c r="G82" s="129"/>
      <c r="H82" s="146"/>
      <c r="I82" s="147"/>
      <c r="J82" s="147"/>
      <c r="K82" s="147"/>
      <c r="L82" s="147"/>
      <c r="M82" s="147"/>
      <c r="N82" s="147"/>
      <c r="O82" s="147"/>
      <c r="P82" s="147"/>
      <c r="Q82" s="147"/>
      <c r="R82" s="147"/>
      <c r="S82" s="257"/>
      <c r="T82" s="229">
        <f>AC82/12</f>
        <v>62.5</v>
      </c>
      <c r="U82" s="147">
        <f t="shared" si="47"/>
        <v>-437.5</v>
      </c>
      <c r="V82" s="147"/>
      <c r="W82" s="148">
        <f t="shared" si="53"/>
        <v>0</v>
      </c>
      <c r="X82" s="48"/>
      <c r="Y82" s="197">
        <f t="shared" si="54"/>
        <v>0</v>
      </c>
      <c r="Z82" s="48"/>
      <c r="AA82" s="178">
        <f t="shared" si="56"/>
        <v>437.5</v>
      </c>
      <c r="AB82" s="147"/>
      <c r="AC82" s="147">
        <v>750</v>
      </c>
      <c r="AD82" s="183"/>
      <c r="AE82" s="183">
        <f t="shared" si="55"/>
        <v>750</v>
      </c>
      <c r="AF82" s="49">
        <f t="shared" si="51"/>
        <v>-312.5</v>
      </c>
      <c r="AG82" s="50">
        <f t="shared" si="52"/>
        <v>62.5</v>
      </c>
      <c r="AH82" s="25"/>
    </row>
    <row r="83" spans="1:34" ht="16" x14ac:dyDescent="0.2">
      <c r="A83" s="32"/>
      <c r="B83" s="32"/>
      <c r="C83" s="32"/>
      <c r="D83" s="32" t="s">
        <v>82</v>
      </c>
      <c r="E83" s="32"/>
      <c r="F83" s="32"/>
      <c r="G83" s="129"/>
      <c r="H83" s="146"/>
      <c r="I83" s="147"/>
      <c r="J83" s="147"/>
      <c r="K83" s="147"/>
      <c r="L83" s="147"/>
      <c r="M83" s="147"/>
      <c r="N83" s="147"/>
      <c r="O83" s="147"/>
      <c r="P83" s="147"/>
      <c r="Q83" s="147"/>
      <c r="R83" s="147"/>
      <c r="S83" s="257"/>
      <c r="T83" s="229">
        <f>AC83/12</f>
        <v>0</v>
      </c>
      <c r="U83" s="147">
        <f t="shared" si="47"/>
        <v>0</v>
      </c>
      <c r="V83" s="147"/>
      <c r="W83" s="148">
        <f t="shared" si="53"/>
        <v>0</v>
      </c>
      <c r="X83" s="48"/>
      <c r="Y83" s="197" t="e">
        <f t="shared" si="54"/>
        <v>#DIV/0!</v>
      </c>
      <c r="Z83" s="48"/>
      <c r="AA83" s="178">
        <f t="shared" si="56"/>
        <v>0</v>
      </c>
      <c r="AB83" s="147"/>
      <c r="AC83" s="147">
        <v>0</v>
      </c>
      <c r="AD83" s="183"/>
      <c r="AE83" s="183">
        <f t="shared" si="55"/>
        <v>0</v>
      </c>
      <c r="AF83" s="49">
        <f t="shared" si="51"/>
        <v>0</v>
      </c>
      <c r="AG83" s="50">
        <f t="shared" si="52"/>
        <v>0</v>
      </c>
      <c r="AH83" s="25"/>
    </row>
    <row r="84" spans="1:34" ht="16" x14ac:dyDescent="0.2">
      <c r="A84" s="32"/>
      <c r="B84" s="32"/>
      <c r="C84" s="32"/>
      <c r="D84" s="32" t="s">
        <v>83</v>
      </c>
      <c r="E84" s="32"/>
      <c r="F84" s="32"/>
      <c r="G84" s="129"/>
      <c r="H84" s="146"/>
      <c r="I84" s="147"/>
      <c r="J84" s="147"/>
      <c r="K84" s="147"/>
      <c r="L84" s="147"/>
      <c r="M84" s="147"/>
      <c r="N84" s="147"/>
      <c r="O84" s="147"/>
      <c r="P84" s="147"/>
      <c r="Q84" s="147"/>
      <c r="R84" s="147"/>
      <c r="S84" s="257"/>
      <c r="T84" s="229">
        <f>AC84/12</f>
        <v>83.333333333333329</v>
      </c>
      <c r="U84" s="147">
        <f t="shared" si="47"/>
        <v>-583.33333333333326</v>
      </c>
      <c r="V84" s="147"/>
      <c r="W84" s="148">
        <f t="shared" si="53"/>
        <v>0</v>
      </c>
      <c r="X84" s="48"/>
      <c r="Y84" s="197">
        <f t="shared" si="54"/>
        <v>0</v>
      </c>
      <c r="Z84" s="48"/>
      <c r="AA84" s="178">
        <f t="shared" si="56"/>
        <v>583.33333333333326</v>
      </c>
      <c r="AB84" s="147"/>
      <c r="AC84" s="147">
        <v>1000</v>
      </c>
      <c r="AD84" s="183"/>
      <c r="AE84" s="183">
        <f t="shared" si="55"/>
        <v>1000</v>
      </c>
      <c r="AF84" s="49">
        <f t="shared" si="51"/>
        <v>-416.66666666666674</v>
      </c>
      <c r="AG84" s="50">
        <f t="shared" si="52"/>
        <v>83.333333333333329</v>
      </c>
      <c r="AH84" s="25"/>
    </row>
    <row r="85" spans="1:34" ht="17" thickBot="1" x14ac:dyDescent="0.25">
      <c r="A85" s="32"/>
      <c r="B85" s="32"/>
      <c r="C85" s="32"/>
      <c r="D85" s="32" t="s">
        <v>84</v>
      </c>
      <c r="E85" s="32"/>
      <c r="F85" s="32"/>
      <c r="G85" s="129"/>
      <c r="H85" s="146">
        <v>161.24</v>
      </c>
      <c r="I85" s="147">
        <v>545.5</v>
      </c>
      <c r="J85" s="147">
        <v>125.28</v>
      </c>
      <c r="K85" s="147">
        <v>177.97</v>
      </c>
      <c r="L85" s="147">
        <v>731.45</v>
      </c>
      <c r="M85" s="147">
        <v>106.33</v>
      </c>
      <c r="N85" s="147">
        <v>128.76</v>
      </c>
      <c r="O85" s="147"/>
      <c r="P85" s="147"/>
      <c r="Q85" s="147"/>
      <c r="R85" s="147"/>
      <c r="S85" s="257"/>
      <c r="T85" s="229">
        <f>AC85/12</f>
        <v>750</v>
      </c>
      <c r="U85" s="147">
        <f t="shared" si="47"/>
        <v>-3273.4700000000003</v>
      </c>
      <c r="V85" s="147"/>
      <c r="W85" s="148">
        <f t="shared" si="53"/>
        <v>1976.53</v>
      </c>
      <c r="X85" s="48"/>
      <c r="Y85" s="197">
        <f t="shared" si="54"/>
        <v>0.21961444444444445</v>
      </c>
      <c r="Z85" s="48"/>
      <c r="AA85" s="178">
        <f t="shared" si="56"/>
        <v>5250</v>
      </c>
      <c r="AB85" s="147"/>
      <c r="AC85" s="147">
        <v>9000</v>
      </c>
      <c r="AD85" s="183"/>
      <c r="AE85" s="183">
        <f t="shared" si="55"/>
        <v>7023.47</v>
      </c>
      <c r="AF85" s="49">
        <f t="shared" si="51"/>
        <v>-3750</v>
      </c>
      <c r="AG85" s="50">
        <f t="shared" si="52"/>
        <v>750</v>
      </c>
      <c r="AH85" s="25"/>
    </row>
    <row r="86" spans="1:34" ht="17" hidden="1" thickBot="1" x14ac:dyDescent="0.25">
      <c r="A86" s="32"/>
      <c r="B86" s="32"/>
      <c r="C86" s="32"/>
      <c r="D86" s="32" t="s">
        <v>176</v>
      </c>
      <c r="E86" s="32"/>
      <c r="F86" s="32"/>
      <c r="G86" s="129"/>
      <c r="H86" s="146">
        <v>0</v>
      </c>
      <c r="I86" s="147"/>
      <c r="J86" s="147"/>
      <c r="K86" s="147"/>
      <c r="L86" s="147"/>
      <c r="M86" s="147"/>
      <c r="N86" s="147"/>
      <c r="O86" s="147"/>
      <c r="P86" s="147"/>
      <c r="Q86" s="147"/>
      <c r="R86" s="147"/>
      <c r="S86" s="257"/>
      <c r="T86" s="229">
        <f t="shared" si="45"/>
        <v>0</v>
      </c>
      <c r="U86" s="147">
        <f t="shared" si="47"/>
        <v>0</v>
      </c>
      <c r="V86" s="147"/>
      <c r="W86" s="148">
        <f t="shared" si="53"/>
        <v>0</v>
      </c>
      <c r="X86" s="48"/>
      <c r="Y86" s="197" t="e">
        <f t="shared" si="54"/>
        <v>#DIV/0!</v>
      </c>
      <c r="Z86" s="48"/>
      <c r="AA86" s="178">
        <f>AC86/12*1</f>
        <v>0</v>
      </c>
      <c r="AB86" s="147"/>
      <c r="AC86" s="147">
        <v>0</v>
      </c>
      <c r="AD86" s="183"/>
      <c r="AE86" s="183">
        <f t="shared" si="55"/>
        <v>0</v>
      </c>
      <c r="AF86" s="49">
        <f t="shared" si="51"/>
        <v>0</v>
      </c>
      <c r="AG86" s="50">
        <f t="shared" si="52"/>
        <v>0</v>
      </c>
      <c r="AH86" s="25"/>
    </row>
    <row r="87" spans="1:34" ht="17" thickBot="1" x14ac:dyDescent="0.25">
      <c r="A87" s="32"/>
      <c r="B87" s="32"/>
      <c r="C87" s="104" t="s">
        <v>85</v>
      </c>
      <c r="D87" s="104"/>
      <c r="E87" s="104"/>
      <c r="F87" s="104"/>
      <c r="G87" s="132"/>
      <c r="H87" s="157">
        <f t="shared" ref="H87:S87" si="57">SUM(H79:H86)</f>
        <v>161.24</v>
      </c>
      <c r="I87" s="155">
        <f>SUM(I79:I86)</f>
        <v>545.5</v>
      </c>
      <c r="J87" s="155">
        <f t="shared" si="57"/>
        <v>125.28</v>
      </c>
      <c r="K87" s="155">
        <f>SUM(K79:K86)</f>
        <v>383.97</v>
      </c>
      <c r="L87" s="155">
        <f>SUM(L79:L86)</f>
        <v>1171.24</v>
      </c>
      <c r="M87" s="155">
        <f t="shared" ref="M87" si="58">SUM(M79:M86)</f>
        <v>36106.33</v>
      </c>
      <c r="N87" s="155">
        <f t="shared" si="57"/>
        <v>128.76</v>
      </c>
      <c r="O87" s="155">
        <f t="shared" si="57"/>
        <v>0</v>
      </c>
      <c r="P87" s="155">
        <f t="shared" si="57"/>
        <v>0</v>
      </c>
      <c r="Q87" s="155">
        <f t="shared" si="57"/>
        <v>0</v>
      </c>
      <c r="R87" s="155">
        <f t="shared" si="57"/>
        <v>0</v>
      </c>
      <c r="S87" s="262">
        <f t="shared" si="57"/>
        <v>0</v>
      </c>
      <c r="T87" s="233">
        <f t="shared" si="45"/>
        <v>7562.5</v>
      </c>
      <c r="U87" s="155">
        <f t="shared" si="47"/>
        <v>-14315.18</v>
      </c>
      <c r="V87" s="155"/>
      <c r="W87" s="156">
        <f t="shared" si="53"/>
        <v>38622.320000000007</v>
      </c>
      <c r="X87" s="53"/>
      <c r="Y87" s="197">
        <f t="shared" si="54"/>
        <v>0.4255903030303031</v>
      </c>
      <c r="Z87" s="53"/>
      <c r="AA87" s="180">
        <f>SUM(AA79:AA86)</f>
        <v>52937.500000000007</v>
      </c>
      <c r="AB87" s="155">
        <f>SUM(AB79:AB86)</f>
        <v>0</v>
      </c>
      <c r="AC87" s="155">
        <f>SUM(AC79:AC85)</f>
        <v>90750</v>
      </c>
      <c r="AD87" s="187"/>
      <c r="AE87" s="155">
        <f>SUM(AE79:AE86)</f>
        <v>52127.68</v>
      </c>
      <c r="AF87" s="49">
        <f t="shared" si="51"/>
        <v>-37812.499999999993</v>
      </c>
      <c r="AG87" s="50"/>
      <c r="AH87" s="25"/>
    </row>
    <row r="88" spans="1:34" ht="15.75" customHeight="1" x14ac:dyDescent="0.2">
      <c r="A88" s="32"/>
      <c r="B88" s="32"/>
      <c r="C88" s="32"/>
      <c r="D88" s="32"/>
      <c r="E88" s="32"/>
      <c r="F88" s="32"/>
      <c r="G88" s="129"/>
      <c r="H88" s="143"/>
      <c r="I88" s="48"/>
      <c r="J88" s="48"/>
      <c r="K88" s="48"/>
      <c r="L88" s="48"/>
      <c r="M88" s="48"/>
      <c r="N88" s="48"/>
      <c r="O88" s="48"/>
      <c r="P88" s="48"/>
      <c r="Q88" s="48"/>
      <c r="R88" s="48"/>
      <c r="S88" s="261"/>
      <c r="T88" s="234" t="s">
        <v>178</v>
      </c>
      <c r="U88" s="48" t="s">
        <v>178</v>
      </c>
      <c r="V88" s="48"/>
      <c r="W88" s="48" t="s">
        <v>178</v>
      </c>
      <c r="X88" s="48"/>
      <c r="Y88" s="48"/>
      <c r="Z88" s="48"/>
      <c r="AA88" s="48"/>
      <c r="AB88" s="48"/>
      <c r="AC88" s="48"/>
      <c r="AD88" s="72"/>
      <c r="AE88" s="72"/>
      <c r="AF88" s="49">
        <f t="shared" si="51"/>
        <v>0</v>
      </c>
      <c r="AG88" s="50"/>
      <c r="AH88" s="25"/>
    </row>
    <row r="89" spans="1:34" ht="16" x14ac:dyDescent="0.2">
      <c r="A89" s="32"/>
      <c r="B89" s="32"/>
      <c r="C89" s="32" t="s">
        <v>86</v>
      </c>
      <c r="D89" s="32"/>
      <c r="E89" s="32"/>
      <c r="F89" s="32"/>
      <c r="G89" s="129"/>
      <c r="H89" s="143"/>
      <c r="I89" s="48"/>
      <c r="J89" s="48"/>
      <c r="K89" s="48"/>
      <c r="L89" s="48"/>
      <c r="M89" s="48"/>
      <c r="N89" s="48"/>
      <c r="O89" s="48"/>
      <c r="P89" s="48"/>
      <c r="Q89" s="48"/>
      <c r="R89" s="48"/>
      <c r="S89" s="261"/>
      <c r="T89" s="234" t="s">
        <v>178</v>
      </c>
      <c r="U89" s="48" t="s">
        <v>178</v>
      </c>
      <c r="V89" s="48"/>
      <c r="W89" s="48" t="s">
        <v>178</v>
      </c>
      <c r="X89" s="48"/>
      <c r="Y89" s="48"/>
      <c r="Z89" s="48"/>
      <c r="AA89" s="48"/>
      <c r="AB89" s="48"/>
      <c r="AC89" s="48"/>
      <c r="AD89" s="72"/>
      <c r="AE89" s="72"/>
      <c r="AF89" s="49">
        <f t="shared" si="51"/>
        <v>0</v>
      </c>
      <c r="AG89" s="50"/>
      <c r="AH89" s="25"/>
    </row>
    <row r="90" spans="1:34" ht="16" hidden="1" x14ac:dyDescent="0.2">
      <c r="A90" s="32"/>
      <c r="B90" s="32"/>
      <c r="C90" s="32"/>
      <c r="D90" s="32"/>
      <c r="E90" s="32"/>
      <c r="F90" s="32" t="s">
        <v>87</v>
      </c>
      <c r="G90" s="129"/>
      <c r="H90" s="143"/>
      <c r="I90" s="48"/>
      <c r="J90" s="48"/>
      <c r="K90" s="48"/>
      <c r="L90" s="48"/>
      <c r="M90" s="48"/>
      <c r="N90" s="48"/>
      <c r="O90" s="48"/>
      <c r="P90" s="48"/>
      <c r="Q90" s="48"/>
      <c r="R90" s="48"/>
      <c r="S90" s="261"/>
      <c r="T90" s="234">
        <f t="shared" si="45"/>
        <v>0</v>
      </c>
      <c r="U90" s="48" t="e">
        <f t="shared" si="47"/>
        <v>#VALUE!</v>
      </c>
      <c r="V90" s="48"/>
      <c r="W90" s="82">
        <f>SUM(H90:H90)</f>
        <v>0</v>
      </c>
      <c r="X90" s="48"/>
      <c r="Y90" s="48"/>
      <c r="Z90" s="48"/>
      <c r="AA90" s="85" t="e">
        <f>+$AI$6*AG90</f>
        <v>#VALUE!</v>
      </c>
      <c r="AB90" s="48"/>
      <c r="AC90" s="48"/>
      <c r="AD90" s="72"/>
      <c r="AE90" s="72">
        <f t="shared" si="55"/>
        <v>0</v>
      </c>
      <c r="AF90" s="49" t="e">
        <f t="shared" si="51"/>
        <v>#VALUE!</v>
      </c>
      <c r="AG90" s="50">
        <f>+AC90/12</f>
        <v>0</v>
      </c>
      <c r="AH90" s="25"/>
    </row>
    <row r="91" spans="1:34" ht="16" hidden="1" x14ac:dyDescent="0.2">
      <c r="A91" s="32"/>
      <c r="B91" s="32"/>
      <c r="C91" s="32"/>
      <c r="D91" s="32"/>
      <c r="E91" s="32"/>
      <c r="F91" s="32" t="s">
        <v>88</v>
      </c>
      <c r="G91" s="129"/>
      <c r="H91" s="143"/>
      <c r="I91" s="48"/>
      <c r="J91" s="48"/>
      <c r="K91" s="48"/>
      <c r="L91" s="48"/>
      <c r="M91" s="48"/>
      <c r="N91" s="48"/>
      <c r="O91" s="48"/>
      <c r="P91" s="48"/>
      <c r="Q91" s="48"/>
      <c r="R91" s="48"/>
      <c r="S91" s="261"/>
      <c r="T91" s="234">
        <f t="shared" si="45"/>
        <v>0</v>
      </c>
      <c r="U91" s="48" t="e">
        <f t="shared" si="47"/>
        <v>#VALUE!</v>
      </c>
      <c r="V91" s="48"/>
      <c r="W91" s="82">
        <f>SUM(H91:H91)</f>
        <v>0</v>
      </c>
      <c r="X91" s="48"/>
      <c r="Y91" s="48"/>
      <c r="Z91" s="48"/>
      <c r="AA91" s="85" t="e">
        <f>+$AI$6*AG91</f>
        <v>#VALUE!</v>
      </c>
      <c r="AB91" s="48"/>
      <c r="AC91" s="48"/>
      <c r="AD91" s="72"/>
      <c r="AE91" s="72">
        <f t="shared" si="55"/>
        <v>0</v>
      </c>
      <c r="AF91" s="49" t="e">
        <f t="shared" si="51"/>
        <v>#VALUE!</v>
      </c>
      <c r="AG91" s="50">
        <f>+AC91/12</f>
        <v>0</v>
      </c>
      <c r="AH91" s="25"/>
    </row>
    <row r="92" spans="1:34" ht="16" x14ac:dyDescent="0.2">
      <c r="A92" s="32"/>
      <c r="B92" s="32"/>
      <c r="C92" s="32"/>
      <c r="D92" s="32" t="s">
        <v>191</v>
      </c>
      <c r="E92" s="32"/>
      <c r="F92" s="32"/>
      <c r="G92" s="129"/>
      <c r="H92" s="146"/>
      <c r="I92" s="147"/>
      <c r="J92" s="147"/>
      <c r="K92" s="147"/>
      <c r="L92" s="147"/>
      <c r="M92" s="147"/>
      <c r="N92" s="147">
        <v>0</v>
      </c>
      <c r="O92" s="147">
        <v>0</v>
      </c>
      <c r="P92" s="147"/>
      <c r="Q92" s="147">
        <v>0</v>
      </c>
      <c r="R92" s="147"/>
      <c r="S92" s="257"/>
      <c r="T92" s="229"/>
      <c r="U92" s="147">
        <f t="shared" si="47"/>
        <v>0</v>
      </c>
      <c r="V92" s="147"/>
      <c r="W92" s="148">
        <f t="shared" ref="W92:W101" si="59">SUM(H92:S92)</f>
        <v>0</v>
      </c>
      <c r="X92" s="48"/>
      <c r="Y92" s="197"/>
      <c r="Z92" s="48"/>
      <c r="AA92" s="85"/>
      <c r="AB92" s="48"/>
      <c r="AC92" s="88" t="s">
        <v>192</v>
      </c>
      <c r="AD92" s="72"/>
      <c r="AE92" s="72" t="s">
        <v>178</v>
      </c>
      <c r="AF92" s="49"/>
      <c r="AG92" s="50"/>
      <c r="AH92" s="25"/>
    </row>
    <row r="93" spans="1:34" ht="16" x14ac:dyDescent="0.2">
      <c r="A93" s="32"/>
      <c r="B93" s="32"/>
      <c r="C93" s="32"/>
      <c r="D93" s="32" t="s">
        <v>89</v>
      </c>
      <c r="E93" s="32"/>
      <c r="F93" s="32"/>
      <c r="G93" s="129"/>
      <c r="H93" s="146">
        <v>1073.73</v>
      </c>
      <c r="I93" s="147">
        <v>1176</v>
      </c>
      <c r="J93" s="147">
        <v>4779.26</v>
      </c>
      <c r="K93" s="147">
        <v>13759.8</v>
      </c>
      <c r="L93" s="147">
        <v>3184.25</v>
      </c>
      <c r="M93" s="147">
        <v>2216.8200000000002</v>
      </c>
      <c r="N93" s="147">
        <v>2365.79</v>
      </c>
      <c r="O93" s="147"/>
      <c r="P93" s="147"/>
      <c r="Q93" s="147"/>
      <c r="R93" s="147"/>
      <c r="S93" s="257"/>
      <c r="T93" s="229">
        <f t="shared" ref="T93:T102" si="60">AC93/12</f>
        <v>4333.333333333333</v>
      </c>
      <c r="U93" s="147">
        <f t="shared" si="47"/>
        <v>-1777.6833333333307</v>
      </c>
      <c r="V93" s="147"/>
      <c r="W93" s="148">
        <f>SUM(H93:S93)</f>
        <v>28555.65</v>
      </c>
      <c r="X93" s="48"/>
      <c r="Y93" s="197">
        <f t="shared" ref="Y93:Y102" si="61">W93/AC93</f>
        <v>0.54914711538461536</v>
      </c>
      <c r="Z93" s="48"/>
      <c r="AA93" s="178">
        <f>AC93/12*$AI$5</f>
        <v>30333.333333333332</v>
      </c>
      <c r="AB93" s="147"/>
      <c r="AC93" s="147">
        <v>52000</v>
      </c>
      <c r="AD93" s="183"/>
      <c r="AE93" s="183">
        <f t="shared" si="55"/>
        <v>23444.35</v>
      </c>
      <c r="AF93" s="49">
        <f t="shared" si="51"/>
        <v>-21666.666666666668</v>
      </c>
      <c r="AG93" s="50">
        <f>+AC93/12</f>
        <v>4333.333333333333</v>
      </c>
      <c r="AH93" s="25"/>
    </row>
    <row r="94" spans="1:34" ht="15.75" customHeight="1" x14ac:dyDescent="0.2">
      <c r="A94" s="32"/>
      <c r="C94" s="32"/>
      <c r="D94" s="32" t="s">
        <v>90</v>
      </c>
      <c r="E94" s="32"/>
      <c r="F94" s="32"/>
      <c r="G94" s="129"/>
      <c r="H94" s="146">
        <v>4502.62</v>
      </c>
      <c r="I94" s="147">
        <v>4502.62</v>
      </c>
      <c r="J94" s="147">
        <v>0</v>
      </c>
      <c r="K94" s="147"/>
      <c r="L94" s="147"/>
      <c r="M94" s="147">
        <v>3993.72</v>
      </c>
      <c r="N94" s="147"/>
      <c r="O94" s="147"/>
      <c r="P94" s="147"/>
      <c r="Q94" s="147"/>
      <c r="R94" s="147"/>
      <c r="S94" s="257"/>
      <c r="T94" s="229">
        <f t="shared" si="60"/>
        <v>333.33333333333331</v>
      </c>
      <c r="U94" s="147">
        <f t="shared" si="47"/>
        <v>10665.626666666667</v>
      </c>
      <c r="V94" s="147"/>
      <c r="W94" s="148">
        <f t="shared" si="59"/>
        <v>12998.96</v>
      </c>
      <c r="X94" s="48"/>
      <c r="Y94" s="197">
        <f t="shared" si="61"/>
        <v>3.2497399999999996</v>
      </c>
      <c r="Z94" s="48"/>
      <c r="AA94" s="178">
        <f t="shared" ref="AA94:AA101" si="62">AC94/12*$AI$5</f>
        <v>2333.333333333333</v>
      </c>
      <c r="AB94" s="147"/>
      <c r="AC94" s="147">
        <v>4000</v>
      </c>
      <c r="AD94" s="183"/>
      <c r="AE94" s="183">
        <f t="shared" si="55"/>
        <v>-8998.9599999999991</v>
      </c>
      <c r="AF94" s="49">
        <f t="shared" ref="AF94:AF101" si="63">AA94-AC94</f>
        <v>-1666.666666666667</v>
      </c>
      <c r="AG94" s="50">
        <f t="shared" ref="AG94:AG101" si="64">+AC94/12</f>
        <v>333.33333333333331</v>
      </c>
      <c r="AH94" s="25"/>
    </row>
    <row r="95" spans="1:34" ht="16" x14ac:dyDescent="0.2">
      <c r="A95" s="32"/>
      <c r="B95" s="32"/>
      <c r="C95" s="32"/>
      <c r="D95" s="32" t="s">
        <v>199</v>
      </c>
      <c r="E95" s="32"/>
      <c r="F95" s="32"/>
      <c r="G95" s="129"/>
      <c r="H95" s="146"/>
      <c r="I95" s="147"/>
      <c r="J95" s="147">
        <v>141.36000000000001</v>
      </c>
      <c r="K95" s="147"/>
      <c r="L95" s="147"/>
      <c r="M95" s="147"/>
      <c r="N95" s="147"/>
      <c r="O95" s="147"/>
      <c r="P95" s="147"/>
      <c r="Q95" s="147"/>
      <c r="R95" s="147"/>
      <c r="S95" s="257"/>
      <c r="T95" s="229">
        <f t="shared" si="60"/>
        <v>83.333333333333329</v>
      </c>
      <c r="U95" s="147">
        <f t="shared" si="47"/>
        <v>-441.97333333333324</v>
      </c>
      <c r="V95" s="147"/>
      <c r="W95" s="148">
        <f t="shared" si="59"/>
        <v>141.36000000000001</v>
      </c>
      <c r="X95" s="48"/>
      <c r="Y95" s="197">
        <f t="shared" si="61"/>
        <v>0.14136000000000001</v>
      </c>
      <c r="Z95" s="48"/>
      <c r="AA95" s="178">
        <f t="shared" si="62"/>
        <v>583.33333333333326</v>
      </c>
      <c r="AB95" s="147"/>
      <c r="AC95" s="147">
        <v>1000</v>
      </c>
      <c r="AD95" s="183"/>
      <c r="AE95" s="183">
        <f t="shared" si="55"/>
        <v>858.64</v>
      </c>
      <c r="AF95" s="49">
        <f t="shared" si="63"/>
        <v>-416.66666666666674</v>
      </c>
      <c r="AG95" s="50">
        <f t="shared" si="64"/>
        <v>83.333333333333329</v>
      </c>
      <c r="AH95" s="25"/>
    </row>
    <row r="96" spans="1:34" ht="16" x14ac:dyDescent="0.2">
      <c r="A96" s="32"/>
      <c r="B96" s="32"/>
      <c r="C96" s="32"/>
      <c r="D96" s="32" t="s">
        <v>219</v>
      </c>
      <c r="E96" s="32"/>
      <c r="F96" s="32"/>
      <c r="G96" s="129"/>
      <c r="H96" s="146"/>
      <c r="I96" s="147"/>
      <c r="J96" s="147"/>
      <c r="K96" s="147"/>
      <c r="L96" s="147"/>
      <c r="M96" s="147"/>
      <c r="N96" s="147"/>
      <c r="O96" s="147"/>
      <c r="P96" s="147"/>
      <c r="Q96" s="147"/>
      <c r="R96" s="147"/>
      <c r="S96" s="257"/>
      <c r="T96" s="229">
        <f t="shared" si="60"/>
        <v>0</v>
      </c>
      <c r="U96" s="147">
        <f>W96-AA96</f>
        <v>0</v>
      </c>
      <c r="V96" s="147"/>
      <c r="W96" s="148">
        <f>SUM(H96:S96)</f>
        <v>0</v>
      </c>
      <c r="X96" s="48"/>
      <c r="Y96" s="197" t="e">
        <f t="shared" si="61"/>
        <v>#DIV/0!</v>
      </c>
      <c r="Z96" s="48"/>
      <c r="AA96" s="178">
        <f t="shared" si="62"/>
        <v>0</v>
      </c>
      <c r="AB96" s="147"/>
      <c r="AC96" s="147">
        <v>0</v>
      </c>
      <c r="AD96" s="183"/>
      <c r="AE96" s="183">
        <f t="shared" si="55"/>
        <v>0</v>
      </c>
      <c r="AF96" s="49">
        <f t="shared" si="63"/>
        <v>0</v>
      </c>
      <c r="AG96" s="50">
        <f t="shared" si="64"/>
        <v>0</v>
      </c>
      <c r="AH96" s="25"/>
    </row>
    <row r="97" spans="1:37" ht="16" x14ac:dyDescent="0.2">
      <c r="A97" s="32"/>
      <c r="B97" s="32"/>
      <c r="C97" s="32"/>
      <c r="D97" s="32" t="s">
        <v>91</v>
      </c>
      <c r="E97" s="32"/>
      <c r="F97" s="32"/>
      <c r="G97" s="129"/>
      <c r="H97" s="146">
        <v>2929.35</v>
      </c>
      <c r="I97" s="147">
        <v>4230.2700000000004</v>
      </c>
      <c r="J97" s="147">
        <v>2859.36</v>
      </c>
      <c r="K97" s="147">
        <v>3196.9</v>
      </c>
      <c r="L97" s="147">
        <v>2127.9</v>
      </c>
      <c r="M97" s="147">
        <v>2833.97</v>
      </c>
      <c r="N97" s="147">
        <v>580.01</v>
      </c>
      <c r="O97" s="147"/>
      <c r="P97" s="147"/>
      <c r="Q97" s="147"/>
      <c r="R97" s="147"/>
      <c r="S97" s="257"/>
      <c r="T97" s="229">
        <f t="shared" si="60"/>
        <v>3000</v>
      </c>
      <c r="U97" s="147">
        <f t="shared" si="47"/>
        <v>-2242.2400000000016</v>
      </c>
      <c r="V97" s="147"/>
      <c r="W97" s="148">
        <f t="shared" si="59"/>
        <v>18757.759999999998</v>
      </c>
      <c r="X97" s="48"/>
      <c r="Y97" s="197">
        <f t="shared" si="61"/>
        <v>0.52104888888888889</v>
      </c>
      <c r="Z97" s="48"/>
      <c r="AA97" s="178">
        <f t="shared" si="62"/>
        <v>21000</v>
      </c>
      <c r="AB97" s="147"/>
      <c r="AC97" s="147">
        <v>36000</v>
      </c>
      <c r="AD97" s="183"/>
      <c r="AE97" s="183">
        <f t="shared" si="55"/>
        <v>17242.240000000002</v>
      </c>
      <c r="AF97" s="49">
        <f t="shared" si="63"/>
        <v>-15000</v>
      </c>
      <c r="AG97" s="50">
        <f t="shared" si="64"/>
        <v>3000</v>
      </c>
      <c r="AH97" s="25"/>
    </row>
    <row r="98" spans="1:37" ht="16" x14ac:dyDescent="0.2">
      <c r="A98" s="32"/>
      <c r="B98" s="32"/>
      <c r="C98" s="32"/>
      <c r="D98" s="32" t="s">
        <v>180</v>
      </c>
      <c r="E98" s="32"/>
      <c r="F98" s="32"/>
      <c r="G98" s="129"/>
      <c r="H98" s="146">
        <v>302.10000000000002</v>
      </c>
      <c r="I98" s="147">
        <v>608.51</v>
      </c>
      <c r="J98" s="147">
        <v>12.23</v>
      </c>
      <c r="K98" s="147">
        <v>258.79000000000002</v>
      </c>
      <c r="L98" s="147"/>
      <c r="M98" s="147"/>
      <c r="N98" s="147"/>
      <c r="O98" s="147"/>
      <c r="P98" s="147"/>
      <c r="Q98" s="147"/>
      <c r="R98" s="147"/>
      <c r="S98" s="257"/>
      <c r="T98" s="229">
        <f t="shared" si="60"/>
        <v>250</v>
      </c>
      <c r="U98" s="147">
        <f>W98-AA98</f>
        <v>-568.36999999999989</v>
      </c>
      <c r="V98" s="147"/>
      <c r="W98" s="148">
        <f t="shared" si="59"/>
        <v>1181.6300000000001</v>
      </c>
      <c r="X98" s="48"/>
      <c r="Y98" s="197">
        <f t="shared" si="61"/>
        <v>0.39387666666666671</v>
      </c>
      <c r="Z98" s="48"/>
      <c r="AA98" s="178">
        <f t="shared" si="62"/>
        <v>1750</v>
      </c>
      <c r="AB98" s="147"/>
      <c r="AC98" s="147">
        <v>3000</v>
      </c>
      <c r="AD98" s="183"/>
      <c r="AE98" s="183">
        <f t="shared" si="55"/>
        <v>1818.37</v>
      </c>
      <c r="AF98" s="49">
        <f t="shared" si="63"/>
        <v>-1250</v>
      </c>
      <c r="AG98" s="50">
        <f t="shared" si="64"/>
        <v>250</v>
      </c>
      <c r="AH98" s="25"/>
    </row>
    <row r="99" spans="1:37" ht="16" x14ac:dyDescent="0.2">
      <c r="A99" s="32"/>
      <c r="B99" s="32"/>
      <c r="C99" s="32"/>
      <c r="D99" s="32" t="s">
        <v>92</v>
      </c>
      <c r="E99" s="32"/>
      <c r="F99" s="32"/>
      <c r="G99" s="129"/>
      <c r="H99" s="147"/>
      <c r="I99" s="147"/>
      <c r="J99" s="147"/>
      <c r="K99" s="147"/>
      <c r="L99" s="147"/>
      <c r="M99" s="147"/>
      <c r="N99" s="147"/>
      <c r="O99" s="147"/>
      <c r="P99" s="147"/>
      <c r="Q99" s="147"/>
      <c r="R99" s="147"/>
      <c r="S99" s="257"/>
      <c r="T99" s="229">
        <f t="shared" si="60"/>
        <v>0</v>
      </c>
      <c r="U99" s="147">
        <f t="shared" si="47"/>
        <v>0</v>
      </c>
      <c r="V99" s="147"/>
      <c r="W99" s="148">
        <f>SUM(H99:S99)</f>
        <v>0</v>
      </c>
      <c r="X99" s="48"/>
      <c r="Y99" s="197" t="e">
        <f t="shared" si="61"/>
        <v>#DIV/0!</v>
      </c>
      <c r="Z99" s="48"/>
      <c r="AA99" s="178">
        <f t="shared" si="62"/>
        <v>0</v>
      </c>
      <c r="AB99" s="147"/>
      <c r="AC99" s="147">
        <v>0</v>
      </c>
      <c r="AD99" s="183"/>
      <c r="AE99" s="183">
        <f t="shared" si="55"/>
        <v>0</v>
      </c>
      <c r="AF99" s="49">
        <f t="shared" si="63"/>
        <v>0</v>
      </c>
      <c r="AG99" s="50">
        <f t="shared" si="64"/>
        <v>0</v>
      </c>
      <c r="AH99" s="25"/>
    </row>
    <row r="100" spans="1:37" ht="16" x14ac:dyDescent="0.2">
      <c r="A100" s="32"/>
      <c r="B100" s="32"/>
      <c r="C100" s="32"/>
      <c r="D100" s="32" t="s">
        <v>93</v>
      </c>
      <c r="E100" s="32"/>
      <c r="F100" s="32"/>
      <c r="G100" s="129"/>
      <c r="H100" s="146">
        <v>817.8</v>
      </c>
      <c r="I100" s="147">
        <v>356.42</v>
      </c>
      <c r="J100" s="147">
        <v>356.4</v>
      </c>
      <c r="K100" s="147">
        <v>356.4</v>
      </c>
      <c r="L100" s="147">
        <v>356.4</v>
      </c>
      <c r="M100" s="147">
        <v>356.4</v>
      </c>
      <c r="N100" s="147">
        <v>2133.56</v>
      </c>
      <c r="O100" s="147"/>
      <c r="P100" s="147"/>
      <c r="Q100" s="147"/>
      <c r="R100" s="147"/>
      <c r="S100" s="257"/>
      <c r="T100" s="229">
        <f t="shared" si="60"/>
        <v>666.66666666666663</v>
      </c>
      <c r="U100" s="147">
        <f t="shared" si="47"/>
        <v>66.713333333334049</v>
      </c>
      <c r="V100" s="147"/>
      <c r="W100" s="148">
        <f t="shared" si="59"/>
        <v>4733.38</v>
      </c>
      <c r="X100" s="48"/>
      <c r="Y100" s="197">
        <f t="shared" si="61"/>
        <v>0.59167250000000005</v>
      </c>
      <c r="Z100" s="48"/>
      <c r="AA100" s="178">
        <f t="shared" si="62"/>
        <v>4666.6666666666661</v>
      </c>
      <c r="AB100" s="147"/>
      <c r="AC100" s="147">
        <v>8000</v>
      </c>
      <c r="AD100" s="183"/>
      <c r="AE100" s="183">
        <f t="shared" si="55"/>
        <v>3266.62</v>
      </c>
      <c r="AF100" s="49">
        <f t="shared" si="63"/>
        <v>-3333.3333333333339</v>
      </c>
      <c r="AG100" s="50">
        <f t="shared" si="64"/>
        <v>666.66666666666663</v>
      </c>
      <c r="AH100" s="25"/>
    </row>
    <row r="101" spans="1:37" ht="17" thickBot="1" x14ac:dyDescent="0.25">
      <c r="A101" s="32"/>
      <c r="B101" s="32"/>
      <c r="C101" s="32"/>
      <c r="D101" s="32" t="s">
        <v>94</v>
      </c>
      <c r="E101" s="32"/>
      <c r="F101" s="32"/>
      <c r="G101" s="129"/>
      <c r="H101" s="146">
        <v>308.67</v>
      </c>
      <c r="I101" s="147">
        <v>308.67</v>
      </c>
      <c r="J101" s="147">
        <v>308.67</v>
      </c>
      <c r="K101" s="147">
        <v>308.67</v>
      </c>
      <c r="L101" s="147">
        <v>308.67</v>
      </c>
      <c r="M101" s="147">
        <v>308.67</v>
      </c>
      <c r="N101" s="147">
        <v>308.67</v>
      </c>
      <c r="O101" s="147"/>
      <c r="P101" s="147"/>
      <c r="Q101" s="147"/>
      <c r="R101" s="147"/>
      <c r="S101" s="257"/>
      <c r="T101" s="229">
        <f t="shared" si="60"/>
        <v>333.33333333333331</v>
      </c>
      <c r="U101" s="147">
        <f t="shared" si="47"/>
        <v>-172.64333333333298</v>
      </c>
      <c r="V101" s="147"/>
      <c r="W101" s="148">
        <f t="shared" si="59"/>
        <v>2160.69</v>
      </c>
      <c r="X101" s="48"/>
      <c r="Y101" s="197">
        <f t="shared" si="61"/>
        <v>0.54017250000000006</v>
      </c>
      <c r="Z101" s="48"/>
      <c r="AA101" s="178">
        <f t="shared" si="62"/>
        <v>2333.333333333333</v>
      </c>
      <c r="AB101" s="147"/>
      <c r="AC101" s="147">
        <v>4000</v>
      </c>
      <c r="AD101" s="183"/>
      <c r="AE101" s="183">
        <f t="shared" si="55"/>
        <v>1839.31</v>
      </c>
      <c r="AF101" s="49">
        <f t="shared" si="63"/>
        <v>-1666.666666666667</v>
      </c>
      <c r="AG101" s="50">
        <f t="shared" si="64"/>
        <v>333.33333333333331</v>
      </c>
      <c r="AH101" s="25"/>
    </row>
    <row r="102" spans="1:37" ht="17" thickBot="1" x14ac:dyDescent="0.25">
      <c r="A102" s="32"/>
      <c r="B102" s="32"/>
      <c r="C102" s="104" t="s">
        <v>95</v>
      </c>
      <c r="D102" s="104"/>
      <c r="E102" s="104"/>
      <c r="F102" s="104"/>
      <c r="G102" s="132"/>
      <c r="H102" s="157">
        <f>SUM(H92:H101)</f>
        <v>9934.27</v>
      </c>
      <c r="I102" s="155">
        <f>I92+I93+I95+I94+I96+I97+I98+I99+I100+I101</f>
        <v>11182.49</v>
      </c>
      <c r="J102" s="155">
        <f>J92+J94+J93+J95+J96+J97+J98+J99+J100+J101</f>
        <v>8457.2799999999988</v>
      </c>
      <c r="K102" s="155">
        <f>SUM(K92:K101)</f>
        <v>17880.560000000001</v>
      </c>
      <c r="L102" s="155">
        <f t="shared" ref="L102:S102" si="65">L92+L93+L94+L95+L96+L97+L98+L99+L100+L101</f>
        <v>5977.2199999999993</v>
      </c>
      <c r="M102" s="155">
        <f t="shared" si="65"/>
        <v>9709.58</v>
      </c>
      <c r="N102" s="155">
        <f t="shared" si="65"/>
        <v>5388.0300000000007</v>
      </c>
      <c r="O102" s="155">
        <f t="shared" si="65"/>
        <v>0</v>
      </c>
      <c r="P102" s="155">
        <f t="shared" si="65"/>
        <v>0</v>
      </c>
      <c r="Q102" s="155">
        <f t="shared" si="65"/>
        <v>0</v>
      </c>
      <c r="R102" s="155">
        <f t="shared" si="65"/>
        <v>0</v>
      </c>
      <c r="S102" s="262">
        <f t="shared" si="65"/>
        <v>0</v>
      </c>
      <c r="T102" s="233">
        <f t="shared" si="60"/>
        <v>9000</v>
      </c>
      <c r="U102" s="155">
        <f t="shared" si="47"/>
        <v>5529.4300000000076</v>
      </c>
      <c r="V102" s="155"/>
      <c r="W102" s="156">
        <f>SUM(H102:S102)</f>
        <v>68529.430000000008</v>
      </c>
      <c r="X102" s="53"/>
      <c r="Y102" s="199">
        <f t="shared" si="61"/>
        <v>0.63453175925925931</v>
      </c>
      <c r="Z102" s="53"/>
      <c r="AA102" s="180">
        <f>SUM(AA92:AA101)</f>
        <v>63000</v>
      </c>
      <c r="AB102" s="155">
        <f>SUM(AB92:AB101)</f>
        <v>0</v>
      </c>
      <c r="AC102" s="155">
        <f>SUM(AC93:AC101)</f>
        <v>108000</v>
      </c>
      <c r="AD102" s="187"/>
      <c r="AE102" s="155">
        <f>SUM(AE92:AE101)</f>
        <v>39470.57</v>
      </c>
      <c r="AF102" s="49">
        <f t="shared" si="51"/>
        <v>-45000</v>
      </c>
      <c r="AG102" s="50"/>
      <c r="AH102" s="25"/>
    </row>
    <row r="103" spans="1:37" ht="29" customHeight="1" x14ac:dyDescent="0.2">
      <c r="A103" s="32"/>
      <c r="B103" s="32"/>
      <c r="C103" s="32" t="s">
        <v>96</v>
      </c>
      <c r="D103" s="32"/>
      <c r="E103" s="32"/>
      <c r="F103" s="32"/>
      <c r="G103" s="129"/>
      <c r="H103" s="143"/>
      <c r="I103" s="48"/>
      <c r="J103" s="48"/>
      <c r="K103" s="48"/>
      <c r="L103" s="48"/>
      <c r="M103" s="48"/>
      <c r="N103" s="48"/>
      <c r="O103" s="48"/>
      <c r="P103" s="48"/>
      <c r="Q103" s="48"/>
      <c r="R103" s="48"/>
      <c r="S103" s="261"/>
      <c r="T103" s="234" t="s">
        <v>178</v>
      </c>
      <c r="U103" s="48" t="s">
        <v>178</v>
      </c>
      <c r="V103" s="48"/>
      <c r="W103" s="48"/>
      <c r="X103" s="48"/>
      <c r="Y103" s="48" t="s">
        <v>178</v>
      </c>
      <c r="Z103" s="48"/>
      <c r="AA103" s="147" t="s">
        <v>178</v>
      </c>
      <c r="AB103" s="147"/>
      <c r="AC103" s="147" t="s">
        <v>178</v>
      </c>
      <c r="AD103" s="183"/>
      <c r="AE103" s="183"/>
      <c r="AF103" s="49" t="s">
        <v>178</v>
      </c>
      <c r="AG103" s="50"/>
      <c r="AH103" s="25"/>
    </row>
    <row r="104" spans="1:37" ht="16" x14ac:dyDescent="0.2">
      <c r="A104" s="32"/>
      <c r="B104" s="32"/>
      <c r="C104" s="32"/>
      <c r="D104" s="32" t="s">
        <v>97</v>
      </c>
      <c r="E104" s="32"/>
      <c r="F104" s="32"/>
      <c r="G104" s="129"/>
      <c r="H104" s="146">
        <v>466.26</v>
      </c>
      <c r="I104" s="147">
        <v>86.89</v>
      </c>
      <c r="J104" s="147">
        <v>33.18</v>
      </c>
      <c r="K104" s="147">
        <v>546.59</v>
      </c>
      <c r="L104" s="147">
        <v>152.80000000000001</v>
      </c>
      <c r="M104" s="147"/>
      <c r="N104" s="147"/>
      <c r="O104" s="147"/>
      <c r="P104" s="147"/>
      <c r="Q104" s="147"/>
      <c r="R104" s="147"/>
      <c r="S104" s="257"/>
      <c r="T104" s="229">
        <f>AC104/12</f>
        <v>333.33333333333331</v>
      </c>
      <c r="U104" s="147">
        <f t="shared" si="47"/>
        <v>-1047.613333333333</v>
      </c>
      <c r="V104" s="147"/>
      <c r="W104" s="148">
        <f t="shared" ref="W104:W111" si="66">SUM(H104:S104)</f>
        <v>1285.72</v>
      </c>
      <c r="X104" s="48"/>
      <c r="Y104" s="197">
        <f t="shared" ref="Y104:Y110" si="67">W104/AC104</f>
        <v>0.32142999999999999</v>
      </c>
      <c r="Z104" s="48"/>
      <c r="AA104" s="178">
        <f t="shared" ref="AA104:AA109" si="68">AC104/12*$AI$5</f>
        <v>2333.333333333333</v>
      </c>
      <c r="AB104" s="147"/>
      <c r="AC104" s="147">
        <v>4000</v>
      </c>
      <c r="AD104" s="183"/>
      <c r="AE104" s="183">
        <f t="shared" si="55"/>
        <v>2714.2799999999997</v>
      </c>
      <c r="AF104" s="49">
        <f t="shared" si="51"/>
        <v>-1666.666666666667</v>
      </c>
      <c r="AG104" s="50">
        <f>+AC104/12</f>
        <v>333.33333333333331</v>
      </c>
      <c r="AH104" s="25"/>
    </row>
    <row r="105" spans="1:37" ht="16" x14ac:dyDescent="0.2">
      <c r="A105" s="32"/>
      <c r="B105" s="32"/>
      <c r="C105" s="32"/>
      <c r="D105" s="32" t="s">
        <v>98</v>
      </c>
      <c r="E105" s="32"/>
      <c r="F105" s="32"/>
      <c r="G105" s="129"/>
      <c r="H105" s="146">
        <v>196.6</v>
      </c>
      <c r="I105" s="147">
        <v>394.51</v>
      </c>
      <c r="J105" s="147">
        <v>1291.1300000000001</v>
      </c>
      <c r="K105" s="147">
        <v>25.86</v>
      </c>
      <c r="L105" s="147">
        <v>299.29000000000002</v>
      </c>
      <c r="M105" s="147">
        <v>586.73</v>
      </c>
      <c r="N105" s="147">
        <v>2868.97</v>
      </c>
      <c r="O105" s="147"/>
      <c r="P105" s="147"/>
      <c r="Q105" s="147"/>
      <c r="R105" s="147"/>
      <c r="S105" s="257"/>
      <c r="T105" s="229">
        <f>AC105/12</f>
        <v>416.66666666666669</v>
      </c>
      <c r="U105" s="147">
        <f t="shared" si="47"/>
        <v>2746.4233333333332</v>
      </c>
      <c r="V105" s="147"/>
      <c r="W105" s="148">
        <f t="shared" si="66"/>
        <v>5663.09</v>
      </c>
      <c r="X105" s="48"/>
      <c r="Y105" s="197">
        <f t="shared" si="67"/>
        <v>1.1326180000000001</v>
      </c>
      <c r="Z105" s="48"/>
      <c r="AA105" s="178">
        <f t="shared" si="68"/>
        <v>2916.666666666667</v>
      </c>
      <c r="AB105" s="147"/>
      <c r="AC105" s="147">
        <v>5000</v>
      </c>
      <c r="AD105" s="183"/>
      <c r="AE105" s="183">
        <f t="shared" si="55"/>
        <v>-663.09000000000015</v>
      </c>
      <c r="AF105" s="49">
        <f t="shared" si="51"/>
        <v>-2083.333333333333</v>
      </c>
      <c r="AG105" s="50">
        <f>+AC105/12</f>
        <v>416.66666666666669</v>
      </c>
      <c r="AH105" s="25"/>
    </row>
    <row r="106" spans="1:37" ht="16" x14ac:dyDescent="0.2">
      <c r="A106" s="32"/>
      <c r="B106" s="32"/>
      <c r="C106" s="32"/>
      <c r="D106" s="32" t="s">
        <v>99</v>
      </c>
      <c r="E106" s="32"/>
      <c r="F106" s="32"/>
      <c r="G106" s="129"/>
      <c r="H106" s="147"/>
      <c r="I106" s="147"/>
      <c r="J106" s="147"/>
      <c r="K106" s="147"/>
      <c r="L106" s="147"/>
      <c r="M106" s="147"/>
      <c r="N106" s="147"/>
      <c r="O106" s="147"/>
      <c r="P106" s="147"/>
      <c r="Q106" s="147"/>
      <c r="R106" s="147"/>
      <c r="S106" s="257"/>
      <c r="T106" s="229">
        <f>AC106/12</f>
        <v>333.33333333333331</v>
      </c>
      <c r="U106" s="147">
        <f t="shared" si="47"/>
        <v>-2333.333333333333</v>
      </c>
      <c r="V106" s="147"/>
      <c r="W106" s="148">
        <f t="shared" si="66"/>
        <v>0</v>
      </c>
      <c r="X106" s="48"/>
      <c r="Y106" s="197">
        <f t="shared" si="67"/>
        <v>0</v>
      </c>
      <c r="Z106" s="48"/>
      <c r="AA106" s="178">
        <f t="shared" si="68"/>
        <v>2333.333333333333</v>
      </c>
      <c r="AB106" s="147"/>
      <c r="AC106" s="147">
        <v>4000</v>
      </c>
      <c r="AD106" s="183"/>
      <c r="AE106" s="183">
        <f t="shared" si="55"/>
        <v>4000</v>
      </c>
      <c r="AF106" s="49">
        <f t="shared" si="51"/>
        <v>-1666.666666666667</v>
      </c>
      <c r="AG106" s="50">
        <f>+AC106/12</f>
        <v>333.33333333333331</v>
      </c>
      <c r="AH106" s="25"/>
    </row>
    <row r="107" spans="1:37" ht="16" hidden="1" x14ac:dyDescent="0.2">
      <c r="A107" s="32"/>
      <c r="B107" s="32"/>
      <c r="C107" s="32"/>
      <c r="D107" s="32" t="s">
        <v>187</v>
      </c>
      <c r="E107" s="32"/>
      <c r="F107" s="32"/>
      <c r="G107" s="129"/>
      <c r="H107" s="146"/>
      <c r="I107" s="147"/>
      <c r="J107" s="147"/>
      <c r="K107" s="147"/>
      <c r="L107" s="147"/>
      <c r="M107" s="147"/>
      <c r="N107" s="147"/>
      <c r="O107" s="147"/>
      <c r="P107" s="147"/>
      <c r="Q107" s="147"/>
      <c r="R107" s="147"/>
      <c r="S107" s="257"/>
      <c r="T107" s="229"/>
      <c r="U107" s="147">
        <f t="shared" si="47"/>
        <v>0</v>
      </c>
      <c r="V107" s="147"/>
      <c r="W107" s="148">
        <f t="shared" si="66"/>
        <v>0</v>
      </c>
      <c r="X107" s="48"/>
      <c r="Y107" s="197" t="e">
        <f t="shared" si="67"/>
        <v>#DIV/0!</v>
      </c>
      <c r="Z107" s="48"/>
      <c r="AA107" s="178">
        <f t="shared" si="68"/>
        <v>0</v>
      </c>
      <c r="AB107" s="147"/>
      <c r="AC107" s="147"/>
      <c r="AD107" s="183"/>
      <c r="AE107" s="183">
        <f t="shared" si="55"/>
        <v>0</v>
      </c>
      <c r="AF107" s="49"/>
      <c r="AG107" s="50"/>
      <c r="AH107" s="25"/>
    </row>
    <row r="108" spans="1:37" ht="16" hidden="1" x14ac:dyDescent="0.2">
      <c r="A108" s="32"/>
      <c r="B108" s="32"/>
      <c r="C108" s="32"/>
      <c r="D108" s="32" t="s">
        <v>188</v>
      </c>
      <c r="E108" s="32"/>
      <c r="F108" s="32"/>
      <c r="G108" s="129"/>
      <c r="H108" s="146"/>
      <c r="I108" s="147"/>
      <c r="J108" s="147"/>
      <c r="K108" s="147"/>
      <c r="L108" s="147"/>
      <c r="M108" s="147"/>
      <c r="N108" s="147"/>
      <c r="O108" s="147"/>
      <c r="P108" s="147"/>
      <c r="Q108" s="147"/>
      <c r="R108" s="147"/>
      <c r="S108" s="257"/>
      <c r="T108" s="229"/>
      <c r="U108" s="147">
        <f t="shared" si="47"/>
        <v>0</v>
      </c>
      <c r="V108" s="147"/>
      <c r="W108" s="148">
        <f t="shared" si="66"/>
        <v>0</v>
      </c>
      <c r="X108" s="48"/>
      <c r="Y108" s="197" t="e">
        <f t="shared" si="67"/>
        <v>#DIV/0!</v>
      </c>
      <c r="Z108" s="48"/>
      <c r="AA108" s="178">
        <f t="shared" si="68"/>
        <v>0</v>
      </c>
      <c r="AB108" s="147"/>
      <c r="AC108" s="147">
        <v>0</v>
      </c>
      <c r="AD108" s="183"/>
      <c r="AE108" s="183">
        <f t="shared" si="55"/>
        <v>0</v>
      </c>
      <c r="AF108" s="49"/>
      <c r="AG108" s="50"/>
      <c r="AH108" s="25"/>
    </row>
    <row r="109" spans="1:37" ht="16" x14ac:dyDescent="0.2">
      <c r="A109" s="32"/>
      <c r="B109" s="32"/>
      <c r="C109" s="32"/>
      <c r="D109" s="32" t="s">
        <v>171</v>
      </c>
      <c r="E109" s="32"/>
      <c r="F109" s="32"/>
      <c r="G109" s="129"/>
      <c r="H109" s="146">
        <v>434.78</v>
      </c>
      <c r="I109" s="147">
        <v>855.21</v>
      </c>
      <c r="J109" s="147">
        <v>122.5</v>
      </c>
      <c r="K109" s="147">
        <v>157.94999999999999</v>
      </c>
      <c r="L109" s="147">
        <v>671.02</v>
      </c>
      <c r="M109" s="147">
        <v>387.85</v>
      </c>
      <c r="N109" s="147">
        <v>357.69</v>
      </c>
      <c r="O109" s="147"/>
      <c r="P109" s="147"/>
      <c r="Q109" s="147"/>
      <c r="R109" s="147"/>
      <c r="S109" s="257"/>
      <c r="T109" s="229">
        <f>AC109/12</f>
        <v>500</v>
      </c>
      <c r="U109" s="147">
        <f t="shared" si="47"/>
        <v>-513</v>
      </c>
      <c r="V109" s="147"/>
      <c r="W109" s="148">
        <f t="shared" si="66"/>
        <v>2987</v>
      </c>
      <c r="X109" s="48"/>
      <c r="Y109" s="197">
        <f t="shared" si="67"/>
        <v>0.49783333333333335</v>
      </c>
      <c r="Z109" s="48"/>
      <c r="AA109" s="178">
        <f t="shared" si="68"/>
        <v>3500</v>
      </c>
      <c r="AB109" s="147"/>
      <c r="AC109" s="147">
        <v>6000</v>
      </c>
      <c r="AD109" s="183"/>
      <c r="AE109" s="183">
        <f t="shared" si="55"/>
        <v>3013</v>
      </c>
      <c r="AF109" s="49">
        <f t="shared" si="51"/>
        <v>-2500</v>
      </c>
      <c r="AG109" s="50">
        <f>+AC109/12</f>
        <v>500</v>
      </c>
      <c r="AH109" s="25"/>
    </row>
    <row r="110" spans="1:37" ht="17" thickBot="1" x14ac:dyDescent="0.25">
      <c r="A110" s="32"/>
      <c r="B110" s="32"/>
      <c r="C110" s="32"/>
      <c r="D110" s="32" t="s">
        <v>193</v>
      </c>
      <c r="E110" s="32"/>
      <c r="F110" s="32"/>
      <c r="G110" s="129"/>
      <c r="H110" s="146"/>
      <c r="I110" s="147"/>
      <c r="J110" s="147"/>
      <c r="K110" s="147"/>
      <c r="L110" s="147"/>
      <c r="M110" s="147">
        <v>182.59</v>
      </c>
      <c r="N110" s="147"/>
      <c r="O110" s="147"/>
      <c r="P110" s="147"/>
      <c r="Q110" s="147"/>
      <c r="R110" s="147"/>
      <c r="S110" s="257"/>
      <c r="T110" s="229">
        <f>AC110/12</f>
        <v>58.333333333333336</v>
      </c>
      <c r="U110" s="147">
        <f>W110-AA110</f>
        <v>-225.74333333333337</v>
      </c>
      <c r="V110" s="147"/>
      <c r="W110" s="148">
        <f t="shared" si="66"/>
        <v>182.59</v>
      </c>
      <c r="X110" s="48"/>
      <c r="Y110" s="197">
        <f t="shared" si="67"/>
        <v>0.26084285714285715</v>
      </c>
      <c r="Z110" s="48"/>
      <c r="AA110" s="178">
        <f>AC110/12*$AI$5</f>
        <v>408.33333333333337</v>
      </c>
      <c r="AB110" s="147"/>
      <c r="AC110" s="147">
        <v>700</v>
      </c>
      <c r="AD110" s="183"/>
      <c r="AE110" s="183">
        <f t="shared" si="55"/>
        <v>517.41</v>
      </c>
      <c r="AF110" s="60">
        <f>AA110-AC110</f>
        <v>-291.66666666666663</v>
      </c>
      <c r="AG110" s="52">
        <f>+AC110/12</f>
        <v>58.333333333333336</v>
      </c>
      <c r="AH110" s="30"/>
      <c r="AI110" s="6"/>
      <c r="AJ110" s="6"/>
      <c r="AK110" s="6"/>
    </row>
    <row r="111" spans="1:37" ht="17" thickBot="1" x14ac:dyDescent="0.25">
      <c r="A111" s="32"/>
      <c r="B111" s="32"/>
      <c r="C111" s="32" t="s">
        <v>100</v>
      </c>
      <c r="D111" s="104"/>
      <c r="E111" s="104"/>
      <c r="F111" s="104"/>
      <c r="G111" s="132"/>
      <c r="H111" s="157">
        <f>SUM(H104:H110)</f>
        <v>1097.6399999999999</v>
      </c>
      <c r="I111" s="155">
        <f t="shared" ref="I111:S111" si="69">I104+I105+I106+I109+I110</f>
        <v>1336.6100000000001</v>
      </c>
      <c r="J111" s="155">
        <f t="shared" si="69"/>
        <v>1446.8100000000002</v>
      </c>
      <c r="K111" s="155">
        <f t="shared" si="69"/>
        <v>730.40000000000009</v>
      </c>
      <c r="L111" s="155">
        <f t="shared" si="69"/>
        <v>1123.1100000000001</v>
      </c>
      <c r="M111" s="155">
        <f t="shared" si="69"/>
        <v>1157.17</v>
      </c>
      <c r="N111" s="155">
        <f t="shared" si="69"/>
        <v>3226.66</v>
      </c>
      <c r="O111" s="155">
        <f t="shared" si="69"/>
        <v>0</v>
      </c>
      <c r="P111" s="155">
        <f t="shared" si="69"/>
        <v>0</v>
      </c>
      <c r="Q111" s="155">
        <f t="shared" si="69"/>
        <v>0</v>
      </c>
      <c r="R111" s="155">
        <f t="shared" si="69"/>
        <v>0</v>
      </c>
      <c r="S111" s="262">
        <f t="shared" si="69"/>
        <v>0</v>
      </c>
      <c r="T111" s="233">
        <f>AC111/12</f>
        <v>1641.6666666666667</v>
      </c>
      <c r="U111" s="155">
        <f t="shared" si="47"/>
        <v>-1373.2666666666646</v>
      </c>
      <c r="V111" s="155"/>
      <c r="W111" s="156">
        <f t="shared" si="66"/>
        <v>10118.400000000001</v>
      </c>
      <c r="X111" s="53"/>
      <c r="Y111" s="199">
        <f>W111/AC111</f>
        <v>0.51362436548223356</v>
      </c>
      <c r="Z111" s="53"/>
      <c r="AA111" s="180">
        <f>SUM(AA104:AA110)</f>
        <v>11491.666666666666</v>
      </c>
      <c r="AB111" s="155">
        <f>SUM(AB104:AB109)</f>
        <v>0</v>
      </c>
      <c r="AC111" s="155">
        <f>SUM(AC104:AC110)</f>
        <v>19700</v>
      </c>
      <c r="AD111" s="187"/>
      <c r="AE111" s="155">
        <f>SUM(AE104:AE110)</f>
        <v>9581.5999999999985</v>
      </c>
      <c r="AF111" s="49">
        <f t="shared" si="51"/>
        <v>-8208.3333333333339</v>
      </c>
      <c r="AG111" s="50"/>
      <c r="AH111" s="25"/>
    </row>
    <row r="112" spans="1:37" ht="29" customHeight="1" x14ac:dyDescent="0.2">
      <c r="A112" s="32"/>
      <c r="B112" s="32"/>
      <c r="C112" s="32" t="s">
        <v>101</v>
      </c>
      <c r="D112" s="32"/>
      <c r="E112" s="32"/>
      <c r="F112" s="32"/>
      <c r="G112" s="129"/>
      <c r="H112" s="143"/>
      <c r="I112" s="48"/>
      <c r="J112" s="48"/>
      <c r="K112" s="48"/>
      <c r="L112" s="48"/>
      <c r="M112" s="48"/>
      <c r="N112" s="48"/>
      <c r="O112" s="48"/>
      <c r="P112" s="48"/>
      <c r="Q112" s="48"/>
      <c r="R112" s="48"/>
      <c r="S112" s="261"/>
      <c r="T112" s="234"/>
      <c r="U112" s="48"/>
      <c r="V112" s="48"/>
      <c r="W112" s="48"/>
      <c r="X112" s="48"/>
      <c r="Y112" s="48"/>
      <c r="Z112" s="48"/>
      <c r="AA112" s="147"/>
      <c r="AB112" s="147"/>
      <c r="AC112" s="147"/>
      <c r="AD112" s="183"/>
      <c r="AE112" s="183"/>
      <c r="AF112" s="49">
        <f t="shared" si="51"/>
        <v>0</v>
      </c>
      <c r="AG112" s="50"/>
      <c r="AH112" s="25"/>
    </row>
    <row r="113" spans="1:34" ht="16" hidden="1" x14ac:dyDescent="0.2">
      <c r="A113" s="32"/>
      <c r="B113" s="32"/>
      <c r="C113" s="32"/>
      <c r="D113" s="32"/>
      <c r="E113" s="32"/>
      <c r="F113" s="32"/>
      <c r="G113" s="129"/>
      <c r="H113" s="143"/>
      <c r="I113" s="48"/>
      <c r="J113" s="48"/>
      <c r="K113" s="48"/>
      <c r="L113" s="48"/>
      <c r="M113" s="48"/>
      <c r="N113" s="48"/>
      <c r="O113" s="48"/>
      <c r="P113" s="48"/>
      <c r="Q113" s="48"/>
      <c r="R113" s="48"/>
      <c r="S113" s="261"/>
      <c r="T113" s="234">
        <f t="shared" si="45"/>
        <v>625</v>
      </c>
      <c r="U113" s="48">
        <f t="shared" si="47"/>
        <v>0</v>
      </c>
      <c r="V113" s="48"/>
      <c r="W113" s="82">
        <f>SUM(H113:R113)</f>
        <v>0</v>
      </c>
      <c r="X113" s="48"/>
      <c r="Y113" s="48">
        <f t="shared" ref="Y113:Y137" si="70">W113/AC113</f>
        <v>0</v>
      </c>
      <c r="Z113" s="48"/>
      <c r="AA113" s="178"/>
      <c r="AB113" s="147"/>
      <c r="AC113" s="147">
        <v>7500</v>
      </c>
      <c r="AD113" s="183"/>
      <c r="AE113" s="183"/>
      <c r="AF113" s="49">
        <f t="shared" si="51"/>
        <v>-7500</v>
      </c>
      <c r="AG113" s="50"/>
      <c r="AH113" s="25"/>
    </row>
    <row r="114" spans="1:34" ht="16" x14ac:dyDescent="0.2">
      <c r="A114" s="32"/>
      <c r="B114" s="32"/>
      <c r="C114" s="32"/>
      <c r="D114" s="32" t="s">
        <v>102</v>
      </c>
      <c r="E114" s="32"/>
      <c r="F114" s="32"/>
      <c r="G114" s="129"/>
      <c r="H114" s="146"/>
      <c r="I114" s="147"/>
      <c r="J114" s="147"/>
      <c r="K114" s="147"/>
      <c r="L114" s="147"/>
      <c r="M114" s="147"/>
      <c r="N114" s="147"/>
      <c r="O114" s="147"/>
      <c r="P114" s="147"/>
      <c r="Q114" s="147"/>
      <c r="R114" s="147"/>
      <c r="S114" s="257"/>
      <c r="T114" s="229">
        <f>AC114/12</f>
        <v>25</v>
      </c>
      <c r="U114" s="147">
        <f t="shared" si="47"/>
        <v>-175</v>
      </c>
      <c r="V114" s="147"/>
      <c r="W114" s="148">
        <f t="shared" ref="W114:W123" si="71">SUM(H114:S114)</f>
        <v>0</v>
      </c>
      <c r="X114" s="48"/>
      <c r="Y114" s="197">
        <f t="shared" si="70"/>
        <v>0</v>
      </c>
      <c r="Z114" s="48"/>
      <c r="AA114" s="178">
        <f t="shared" ref="AA114:AA135" si="72">AC114/12*$AI$5</f>
        <v>175</v>
      </c>
      <c r="AB114" s="147"/>
      <c r="AC114" s="147">
        <v>300</v>
      </c>
      <c r="AD114" s="183"/>
      <c r="AE114" s="183">
        <f t="shared" si="55"/>
        <v>300</v>
      </c>
      <c r="AF114" s="49">
        <f>AA114-AC114</f>
        <v>-125</v>
      </c>
      <c r="AG114" s="50">
        <f t="shared" ref="AG114:AG132" si="73">+AC114/12</f>
        <v>25</v>
      </c>
      <c r="AH114" s="25"/>
    </row>
    <row r="115" spans="1:34" ht="16" x14ac:dyDescent="0.2">
      <c r="A115" s="32"/>
      <c r="B115" s="32"/>
      <c r="C115" s="32"/>
      <c r="D115" s="32" t="s">
        <v>103</v>
      </c>
      <c r="E115" s="32"/>
      <c r="F115" s="32"/>
      <c r="G115" s="129"/>
      <c r="H115" s="146"/>
      <c r="I115" s="147"/>
      <c r="J115" s="147"/>
      <c r="K115" s="147"/>
      <c r="L115" s="147"/>
      <c r="M115" s="147"/>
      <c r="N115" s="147">
        <v>-5</v>
      </c>
      <c r="O115" s="147"/>
      <c r="P115" s="147"/>
      <c r="Q115" s="147"/>
      <c r="R115" s="147"/>
      <c r="S115" s="257"/>
      <c r="T115" s="229">
        <f>AC115/12</f>
        <v>250</v>
      </c>
      <c r="U115" s="147">
        <f t="shared" si="47"/>
        <v>-1755</v>
      </c>
      <c r="V115" s="147"/>
      <c r="W115" s="148">
        <f t="shared" si="71"/>
        <v>-5</v>
      </c>
      <c r="X115" s="48"/>
      <c r="Y115" s="197">
        <f t="shared" si="70"/>
        <v>-1.6666666666666668E-3</v>
      </c>
      <c r="Z115" s="48"/>
      <c r="AA115" s="178">
        <f t="shared" si="72"/>
        <v>1750</v>
      </c>
      <c r="AB115" s="147"/>
      <c r="AC115" s="147">
        <v>3000</v>
      </c>
      <c r="AD115" s="183"/>
      <c r="AE115" s="183">
        <f t="shared" si="55"/>
        <v>3005</v>
      </c>
      <c r="AF115" s="49">
        <f t="shared" si="51"/>
        <v>-1250</v>
      </c>
      <c r="AG115" s="50">
        <f t="shared" si="73"/>
        <v>250</v>
      </c>
      <c r="AH115" s="25"/>
    </row>
    <row r="116" spans="1:34" ht="16" x14ac:dyDescent="0.2">
      <c r="A116" s="32"/>
      <c r="B116" s="32"/>
      <c r="C116" s="32"/>
      <c r="D116" s="32" t="s">
        <v>104</v>
      </c>
      <c r="E116" s="32"/>
      <c r="F116" s="32"/>
      <c r="G116" s="129"/>
      <c r="H116" s="146">
        <v>35.840000000000003</v>
      </c>
      <c r="I116" s="147">
        <v>73.5</v>
      </c>
      <c r="J116" s="147">
        <v>4510.74</v>
      </c>
      <c r="K116" s="147">
        <v>53.7</v>
      </c>
      <c r="L116" s="147">
        <v>0</v>
      </c>
      <c r="M116" s="147">
        <v>7.85</v>
      </c>
      <c r="N116" s="147"/>
      <c r="O116" s="147"/>
      <c r="P116" s="147"/>
      <c r="Q116" s="147"/>
      <c r="R116" s="147"/>
      <c r="S116" s="257"/>
      <c r="T116" s="229">
        <f>AC116/12</f>
        <v>1250</v>
      </c>
      <c r="U116" s="147">
        <f t="shared" si="47"/>
        <v>-4068.37</v>
      </c>
      <c r="V116" s="147"/>
      <c r="W116" s="148">
        <f t="shared" si="71"/>
        <v>4681.63</v>
      </c>
      <c r="X116" s="48"/>
      <c r="Y116" s="197">
        <f t="shared" si="70"/>
        <v>0.3121086666666667</v>
      </c>
      <c r="Z116" s="48"/>
      <c r="AA116" s="178">
        <f t="shared" si="72"/>
        <v>8750</v>
      </c>
      <c r="AB116" s="147"/>
      <c r="AC116" s="147">
        <v>15000</v>
      </c>
      <c r="AD116" s="183"/>
      <c r="AE116" s="183">
        <f t="shared" si="55"/>
        <v>10318.369999999999</v>
      </c>
      <c r="AF116" s="49">
        <f t="shared" si="51"/>
        <v>-6250</v>
      </c>
      <c r="AG116" s="50">
        <f t="shared" si="73"/>
        <v>1250</v>
      </c>
      <c r="AH116" s="25"/>
    </row>
    <row r="117" spans="1:34" ht="16" x14ac:dyDescent="0.2">
      <c r="A117" s="32"/>
      <c r="B117" s="32"/>
      <c r="C117" s="32"/>
      <c r="D117" s="32" t="s">
        <v>105</v>
      </c>
      <c r="E117" s="32"/>
      <c r="F117" s="32"/>
      <c r="G117" s="129"/>
      <c r="H117" s="146"/>
      <c r="I117" s="147"/>
      <c r="J117" s="147">
        <v>-607.28</v>
      </c>
      <c r="K117" s="147">
        <v>607.28</v>
      </c>
      <c r="L117" s="147"/>
      <c r="M117" s="147">
        <v>607.28</v>
      </c>
      <c r="N117" s="147">
        <v>607.28</v>
      </c>
      <c r="O117" s="147"/>
      <c r="P117" s="147"/>
      <c r="Q117" s="147"/>
      <c r="R117" s="147"/>
      <c r="S117" s="257"/>
      <c r="T117" s="229">
        <f>AC117/12</f>
        <v>208.33333333333334</v>
      </c>
      <c r="U117" s="147">
        <f t="shared" si="47"/>
        <v>-243.77333333333354</v>
      </c>
      <c r="V117" s="147"/>
      <c r="W117" s="148">
        <f t="shared" si="71"/>
        <v>1214.56</v>
      </c>
      <c r="X117" s="48"/>
      <c r="Y117" s="197">
        <f t="shared" si="70"/>
        <v>0.48582399999999998</v>
      </c>
      <c r="Z117" s="48"/>
      <c r="AA117" s="178">
        <f t="shared" si="72"/>
        <v>1458.3333333333335</v>
      </c>
      <c r="AB117" s="147"/>
      <c r="AC117" s="147">
        <v>2500</v>
      </c>
      <c r="AD117" s="183"/>
      <c r="AE117" s="183">
        <f t="shared" si="55"/>
        <v>1285.44</v>
      </c>
      <c r="AF117" s="49">
        <f t="shared" si="51"/>
        <v>-1041.6666666666665</v>
      </c>
      <c r="AG117" s="50">
        <f t="shared" si="73"/>
        <v>208.33333333333334</v>
      </c>
      <c r="AH117" s="25"/>
    </row>
    <row r="118" spans="1:34" ht="16" x14ac:dyDescent="0.2">
      <c r="A118" s="32"/>
      <c r="B118" s="32"/>
      <c r="C118" s="32"/>
      <c r="D118" s="32" t="s">
        <v>106</v>
      </c>
      <c r="E118" s="32"/>
      <c r="F118" s="32"/>
      <c r="G118" s="129"/>
      <c r="H118" s="146">
        <v>1078.8599999999999</v>
      </c>
      <c r="I118" s="147">
        <v>450.74</v>
      </c>
      <c r="J118" s="147"/>
      <c r="K118" s="147"/>
      <c r="L118" s="147"/>
      <c r="M118" s="147">
        <v>613.98</v>
      </c>
      <c r="N118" s="147"/>
      <c r="O118" s="147"/>
      <c r="P118" s="147"/>
      <c r="Q118" s="147"/>
      <c r="R118" s="147"/>
      <c r="S118" s="257"/>
      <c r="T118" s="229">
        <f>AC118/12</f>
        <v>250</v>
      </c>
      <c r="U118" s="147">
        <f t="shared" si="47"/>
        <v>393.57999999999993</v>
      </c>
      <c r="V118" s="147"/>
      <c r="W118" s="148">
        <f t="shared" si="71"/>
        <v>2143.58</v>
      </c>
      <c r="X118" s="48"/>
      <c r="Y118" s="197">
        <f t="shared" si="70"/>
        <v>0.71452666666666664</v>
      </c>
      <c r="Z118" s="48"/>
      <c r="AA118" s="178">
        <f t="shared" si="72"/>
        <v>1750</v>
      </c>
      <c r="AB118" s="147"/>
      <c r="AC118" s="147">
        <v>3000</v>
      </c>
      <c r="AD118" s="183"/>
      <c r="AE118" s="183">
        <f t="shared" si="55"/>
        <v>856.42000000000007</v>
      </c>
      <c r="AF118" s="49">
        <f t="shared" si="51"/>
        <v>-1250</v>
      </c>
      <c r="AG118" s="50">
        <f t="shared" si="73"/>
        <v>250</v>
      </c>
      <c r="AH118" s="25"/>
    </row>
    <row r="119" spans="1:34" ht="16" x14ac:dyDescent="0.2">
      <c r="A119" s="32"/>
      <c r="B119" s="32"/>
      <c r="C119" s="32"/>
      <c r="D119" s="32" t="s">
        <v>107</v>
      </c>
      <c r="E119" s="32"/>
      <c r="F119" s="32"/>
      <c r="G119" s="129"/>
      <c r="H119" s="146">
        <v>57.52</v>
      </c>
      <c r="I119" s="147">
        <v>820.05</v>
      </c>
      <c r="J119" s="147">
        <v>477.58</v>
      </c>
      <c r="K119" s="147">
        <v>271.05</v>
      </c>
      <c r="L119" s="147">
        <v>286.22000000000003</v>
      </c>
      <c r="M119" s="147">
        <v>267.89</v>
      </c>
      <c r="N119" s="147">
        <v>2974.96</v>
      </c>
      <c r="O119" s="147"/>
      <c r="P119" s="147"/>
      <c r="Q119" s="147"/>
      <c r="R119" s="147"/>
      <c r="S119" s="257"/>
      <c r="T119" s="229">
        <f t="shared" ref="T119:T132" si="74">AC119/12</f>
        <v>416.66666666666669</v>
      </c>
      <c r="U119" s="147">
        <f t="shared" si="47"/>
        <v>2238.6033333333335</v>
      </c>
      <c r="V119" s="147"/>
      <c r="W119" s="148">
        <f t="shared" si="71"/>
        <v>5155.2700000000004</v>
      </c>
      <c r="X119" s="48"/>
      <c r="Y119" s="197">
        <f t="shared" si="70"/>
        <v>1.0310540000000001</v>
      </c>
      <c r="Z119" s="48"/>
      <c r="AA119" s="178">
        <f t="shared" si="72"/>
        <v>2916.666666666667</v>
      </c>
      <c r="AB119" s="147"/>
      <c r="AC119" s="147">
        <v>5000</v>
      </c>
      <c r="AD119" s="183"/>
      <c r="AE119" s="183">
        <f t="shared" si="55"/>
        <v>-155.27000000000044</v>
      </c>
      <c r="AF119" s="49">
        <f t="shared" si="51"/>
        <v>-2083.333333333333</v>
      </c>
      <c r="AG119" s="50">
        <f t="shared" si="73"/>
        <v>416.66666666666669</v>
      </c>
      <c r="AH119" s="25"/>
    </row>
    <row r="120" spans="1:34" ht="16" x14ac:dyDescent="0.2">
      <c r="A120" s="32"/>
      <c r="B120" s="32"/>
      <c r="C120" s="32"/>
      <c r="D120" s="32" t="s">
        <v>108</v>
      </c>
      <c r="E120" s="32"/>
      <c r="F120" s="32"/>
      <c r="G120" s="129"/>
      <c r="H120" s="146">
        <v>405.33</v>
      </c>
      <c r="I120" s="147">
        <v>405.33</v>
      </c>
      <c r="J120" s="147">
        <v>405.33</v>
      </c>
      <c r="K120" s="147">
        <v>405.33</v>
      </c>
      <c r="L120" s="147">
        <v>474.87</v>
      </c>
      <c r="M120" s="147">
        <v>197.3</v>
      </c>
      <c r="N120" s="147">
        <v>405.15</v>
      </c>
      <c r="O120" s="147"/>
      <c r="P120" s="147"/>
      <c r="Q120" s="147"/>
      <c r="R120" s="147"/>
      <c r="S120" s="257"/>
      <c r="T120" s="229">
        <f t="shared" si="74"/>
        <v>375</v>
      </c>
      <c r="U120" s="147">
        <f t="shared" si="47"/>
        <v>73.640000000000327</v>
      </c>
      <c r="V120" s="147"/>
      <c r="W120" s="148">
        <f t="shared" si="71"/>
        <v>2698.6400000000003</v>
      </c>
      <c r="X120" s="48"/>
      <c r="Y120" s="197">
        <f t="shared" si="70"/>
        <v>0.59969777777777789</v>
      </c>
      <c r="Z120" s="48"/>
      <c r="AA120" s="178">
        <f t="shared" si="72"/>
        <v>2625</v>
      </c>
      <c r="AB120" s="147"/>
      <c r="AC120" s="147">
        <v>4500</v>
      </c>
      <c r="AD120" s="183"/>
      <c r="AE120" s="183">
        <f t="shared" si="55"/>
        <v>1801.3599999999997</v>
      </c>
      <c r="AF120" s="49">
        <f t="shared" si="51"/>
        <v>-1875</v>
      </c>
      <c r="AG120" s="50">
        <f t="shared" si="73"/>
        <v>375</v>
      </c>
      <c r="AH120" s="25"/>
    </row>
    <row r="121" spans="1:34" ht="16" x14ac:dyDescent="0.2">
      <c r="A121" s="32"/>
      <c r="B121" s="32"/>
      <c r="C121" s="32"/>
      <c r="D121" s="32" t="s">
        <v>109</v>
      </c>
      <c r="E121" s="32"/>
      <c r="F121" s="32"/>
      <c r="G121" s="129"/>
      <c r="H121" s="146">
        <v>163</v>
      </c>
      <c r="I121" s="147">
        <v>10</v>
      </c>
      <c r="J121" s="147">
        <v>228.06</v>
      </c>
      <c r="K121" s="147">
        <v>208.96</v>
      </c>
      <c r="L121" s="147">
        <v>212.38</v>
      </c>
      <c r="M121" s="147">
        <v>136.6</v>
      </c>
      <c r="N121" s="147">
        <v>131.91999999999999</v>
      </c>
      <c r="O121" s="147"/>
      <c r="P121" s="147"/>
      <c r="Q121" s="147"/>
      <c r="R121" s="147"/>
      <c r="S121" s="257"/>
      <c r="T121" s="229">
        <f t="shared" si="74"/>
        <v>166.66666666666666</v>
      </c>
      <c r="U121" s="147">
        <f t="shared" si="47"/>
        <v>-75.746666666666442</v>
      </c>
      <c r="V121" s="147"/>
      <c r="W121" s="148">
        <f t="shared" si="71"/>
        <v>1090.92</v>
      </c>
      <c r="X121" s="48"/>
      <c r="Y121" s="197">
        <f t="shared" si="70"/>
        <v>0.54546000000000006</v>
      </c>
      <c r="Z121" s="48"/>
      <c r="AA121" s="178">
        <f t="shared" si="72"/>
        <v>1166.6666666666665</v>
      </c>
      <c r="AB121" s="147"/>
      <c r="AC121" s="147">
        <v>2000</v>
      </c>
      <c r="AD121" s="183"/>
      <c r="AE121" s="183">
        <f t="shared" si="55"/>
        <v>909.07999999999993</v>
      </c>
      <c r="AF121" s="49">
        <f t="shared" si="51"/>
        <v>-833.33333333333348</v>
      </c>
      <c r="AG121" s="50">
        <f t="shared" si="73"/>
        <v>166.66666666666666</v>
      </c>
      <c r="AH121" s="25"/>
    </row>
    <row r="122" spans="1:34" ht="16" x14ac:dyDescent="0.2">
      <c r="A122" s="32"/>
      <c r="B122" s="32"/>
      <c r="C122" s="32"/>
      <c r="D122" s="32" t="s">
        <v>110</v>
      </c>
      <c r="E122" s="32"/>
      <c r="F122" s="32"/>
      <c r="G122" s="129"/>
      <c r="H122" s="146"/>
      <c r="I122" s="147"/>
      <c r="J122" s="147">
        <v>11</v>
      </c>
      <c r="K122" s="147"/>
      <c r="L122" s="147"/>
      <c r="M122" s="147">
        <v>28.5</v>
      </c>
      <c r="N122" s="147"/>
      <c r="O122" s="147"/>
      <c r="P122" s="147"/>
      <c r="Q122" s="147"/>
      <c r="R122" s="147"/>
      <c r="S122" s="257"/>
      <c r="T122" s="229">
        <f t="shared" si="74"/>
        <v>2.0833333333333335</v>
      </c>
      <c r="U122" s="147">
        <f t="shared" si="47"/>
        <v>24.916666666666664</v>
      </c>
      <c r="V122" s="147"/>
      <c r="W122" s="148">
        <f t="shared" si="71"/>
        <v>39.5</v>
      </c>
      <c r="X122" s="48"/>
      <c r="Y122" s="197">
        <f t="shared" si="70"/>
        <v>1.58</v>
      </c>
      <c r="Z122" s="48"/>
      <c r="AA122" s="178">
        <f t="shared" si="72"/>
        <v>14.583333333333334</v>
      </c>
      <c r="AB122" s="147"/>
      <c r="AC122" s="147">
        <v>25</v>
      </c>
      <c r="AD122" s="183"/>
      <c r="AE122" s="183">
        <f t="shared" si="55"/>
        <v>-14.5</v>
      </c>
      <c r="AF122" s="49">
        <f t="shared" si="51"/>
        <v>-10.416666666666666</v>
      </c>
      <c r="AG122" s="50">
        <f t="shared" si="73"/>
        <v>2.0833333333333335</v>
      </c>
      <c r="AH122" s="25"/>
    </row>
    <row r="123" spans="1:34" ht="16" x14ac:dyDescent="0.2">
      <c r="A123" s="32"/>
      <c r="B123" s="32"/>
      <c r="C123" s="32"/>
      <c r="D123" s="32" t="s">
        <v>220</v>
      </c>
      <c r="E123" s="32"/>
      <c r="F123" s="32"/>
      <c r="G123" s="129"/>
      <c r="H123" s="146"/>
      <c r="I123" s="147"/>
      <c r="J123" s="147"/>
      <c r="K123" s="147"/>
      <c r="L123" s="147">
        <v>6402.69</v>
      </c>
      <c r="M123" s="147"/>
      <c r="N123" s="147"/>
      <c r="O123" s="147"/>
      <c r="P123" s="147"/>
      <c r="Q123" s="147"/>
      <c r="R123" s="147"/>
      <c r="S123" s="257"/>
      <c r="T123" s="229">
        <f t="shared" si="74"/>
        <v>0</v>
      </c>
      <c r="U123" s="147">
        <f t="shared" si="47"/>
        <v>6402.69</v>
      </c>
      <c r="V123" s="147"/>
      <c r="W123" s="148">
        <f t="shared" si="71"/>
        <v>6402.69</v>
      </c>
      <c r="X123" s="48"/>
      <c r="Y123" s="197" t="e">
        <f t="shared" si="70"/>
        <v>#DIV/0!</v>
      </c>
      <c r="Z123" s="48"/>
      <c r="AA123" s="178">
        <f t="shared" si="72"/>
        <v>0</v>
      </c>
      <c r="AB123" s="147"/>
      <c r="AC123" s="147"/>
      <c r="AD123" s="183"/>
      <c r="AE123" s="183">
        <f t="shared" si="55"/>
        <v>-6402.69</v>
      </c>
      <c r="AF123" s="49">
        <f t="shared" si="51"/>
        <v>0</v>
      </c>
      <c r="AG123" s="50">
        <f t="shared" si="73"/>
        <v>0</v>
      </c>
      <c r="AH123" s="25"/>
    </row>
    <row r="124" spans="1:34" ht="16" x14ac:dyDescent="0.2">
      <c r="A124" s="32"/>
      <c r="B124" s="32"/>
      <c r="C124" s="32"/>
      <c r="D124" s="32" t="s">
        <v>111</v>
      </c>
      <c r="E124" s="32"/>
      <c r="F124" s="32"/>
      <c r="G124" s="129"/>
      <c r="H124" s="146"/>
      <c r="I124" s="147">
        <v>649.5</v>
      </c>
      <c r="J124" s="147"/>
      <c r="K124" s="147"/>
      <c r="L124" s="147"/>
      <c r="M124" s="147"/>
      <c r="N124" s="147"/>
      <c r="O124" s="147"/>
      <c r="P124" s="147"/>
      <c r="Q124" s="147"/>
      <c r="R124" s="147"/>
      <c r="S124" s="257"/>
      <c r="T124" s="229">
        <f t="shared" si="74"/>
        <v>83.333333333333329</v>
      </c>
      <c r="U124" s="147">
        <f t="shared" si="47"/>
        <v>66.166666666666742</v>
      </c>
      <c r="V124" s="147"/>
      <c r="W124" s="148">
        <f t="shared" ref="W124:W132" si="75">SUM(H124:S124)</f>
        <v>649.5</v>
      </c>
      <c r="X124" s="48"/>
      <c r="Y124" s="197">
        <f t="shared" si="70"/>
        <v>0.64949999999999997</v>
      </c>
      <c r="Z124" s="48"/>
      <c r="AA124" s="178">
        <f t="shared" si="72"/>
        <v>583.33333333333326</v>
      </c>
      <c r="AB124" s="147"/>
      <c r="AC124" s="147">
        <v>1000</v>
      </c>
      <c r="AD124" s="183"/>
      <c r="AE124" s="183">
        <f t="shared" si="55"/>
        <v>350.5</v>
      </c>
      <c r="AF124" s="49">
        <f t="shared" si="51"/>
        <v>-416.66666666666674</v>
      </c>
      <c r="AG124" s="50">
        <f t="shared" si="73"/>
        <v>83.333333333333329</v>
      </c>
      <c r="AH124" s="25"/>
    </row>
    <row r="125" spans="1:34" ht="16" x14ac:dyDescent="0.2">
      <c r="A125" s="32"/>
      <c r="B125" s="32"/>
      <c r="C125" s="32"/>
      <c r="D125" s="32" t="s">
        <v>112</v>
      </c>
      <c r="E125" s="32"/>
      <c r="F125" s="32"/>
      <c r="G125" s="129"/>
      <c r="H125" s="146">
        <v>192</v>
      </c>
      <c r="I125" s="147">
        <v>1766</v>
      </c>
      <c r="J125" s="147">
        <v>337</v>
      </c>
      <c r="K125" s="147">
        <v>136</v>
      </c>
      <c r="L125" s="147">
        <v>363</v>
      </c>
      <c r="M125" s="147">
        <v>41</v>
      </c>
      <c r="N125" s="147">
        <v>321</v>
      </c>
      <c r="O125" s="147"/>
      <c r="P125" s="147"/>
      <c r="Q125" s="147"/>
      <c r="R125" s="147"/>
      <c r="S125" s="257"/>
      <c r="T125" s="229">
        <f t="shared" si="74"/>
        <v>666.66666666666663</v>
      </c>
      <c r="U125" s="147">
        <f t="shared" si="47"/>
        <v>-1510.6666666666661</v>
      </c>
      <c r="V125" s="147"/>
      <c r="W125" s="148">
        <f t="shared" si="75"/>
        <v>3156</v>
      </c>
      <c r="X125" s="48"/>
      <c r="Y125" s="197">
        <f t="shared" si="70"/>
        <v>0.39450000000000002</v>
      </c>
      <c r="Z125" s="48"/>
      <c r="AA125" s="178">
        <f t="shared" si="72"/>
        <v>4666.6666666666661</v>
      </c>
      <c r="AB125" s="147"/>
      <c r="AC125" s="147">
        <v>8000</v>
      </c>
      <c r="AD125" s="183"/>
      <c r="AE125" s="183">
        <f t="shared" si="55"/>
        <v>4844</v>
      </c>
      <c r="AF125" s="49">
        <f t="shared" si="51"/>
        <v>-3333.3333333333339</v>
      </c>
      <c r="AG125" s="50">
        <f t="shared" si="73"/>
        <v>666.66666666666663</v>
      </c>
      <c r="AH125" s="25"/>
    </row>
    <row r="126" spans="1:34" ht="16" x14ac:dyDescent="0.2">
      <c r="A126" s="32"/>
      <c r="B126" s="32"/>
      <c r="C126" s="32"/>
      <c r="D126" s="32" t="s">
        <v>113</v>
      </c>
      <c r="E126" s="32"/>
      <c r="F126" s="32"/>
      <c r="G126" s="129"/>
      <c r="H126" s="146"/>
      <c r="I126" s="147"/>
      <c r="J126" s="147"/>
      <c r="K126" s="147"/>
      <c r="L126" s="147"/>
      <c r="M126" s="147"/>
      <c r="N126" s="147"/>
      <c r="O126" s="147"/>
      <c r="P126" s="147"/>
      <c r="Q126" s="147"/>
      <c r="R126" s="147"/>
      <c r="S126" s="257"/>
      <c r="T126" s="229">
        <f t="shared" si="74"/>
        <v>0</v>
      </c>
      <c r="U126" s="147">
        <f t="shared" si="47"/>
        <v>0</v>
      </c>
      <c r="V126" s="147"/>
      <c r="W126" s="148">
        <f t="shared" si="75"/>
        <v>0</v>
      </c>
      <c r="X126" s="48"/>
      <c r="Y126" s="197" t="e">
        <f t="shared" si="70"/>
        <v>#DIV/0!</v>
      </c>
      <c r="Z126" s="48"/>
      <c r="AA126" s="178">
        <f t="shared" si="72"/>
        <v>0</v>
      </c>
      <c r="AB126" s="147"/>
      <c r="AC126" s="147">
        <v>0</v>
      </c>
      <c r="AD126" s="183"/>
      <c r="AE126" s="183">
        <f t="shared" si="55"/>
        <v>0</v>
      </c>
      <c r="AF126" s="49">
        <f t="shared" si="51"/>
        <v>0</v>
      </c>
      <c r="AG126" s="50">
        <f t="shared" si="73"/>
        <v>0</v>
      </c>
      <c r="AH126" s="25"/>
    </row>
    <row r="127" spans="1:34" ht="16" x14ac:dyDescent="0.2">
      <c r="A127" s="32"/>
      <c r="B127" s="32"/>
      <c r="C127" s="32"/>
      <c r="D127" s="32" t="s">
        <v>114</v>
      </c>
      <c r="E127" s="32"/>
      <c r="F127" s="32"/>
      <c r="G127" s="129"/>
      <c r="H127" s="146">
        <v>2065.83</v>
      </c>
      <c r="I127" s="147">
        <v>2065.83</v>
      </c>
      <c r="J127" s="147">
        <v>2065.83</v>
      </c>
      <c r="K127" s="147">
        <v>2066</v>
      </c>
      <c r="L127" s="147">
        <v>2065.83</v>
      </c>
      <c r="M127" s="147">
        <v>2065.83</v>
      </c>
      <c r="N127" s="147"/>
      <c r="O127" s="147"/>
      <c r="P127" s="147"/>
      <c r="Q127" s="147"/>
      <c r="R127" s="147"/>
      <c r="S127" s="257"/>
      <c r="T127" s="229">
        <f t="shared" si="74"/>
        <v>1666.6666666666667</v>
      </c>
      <c r="U127" s="147">
        <f t="shared" si="47"/>
        <v>728.48333333333176</v>
      </c>
      <c r="V127" s="147"/>
      <c r="W127" s="148">
        <f t="shared" si="75"/>
        <v>12395.15</v>
      </c>
      <c r="X127" s="48"/>
      <c r="Y127" s="197">
        <f t="shared" si="70"/>
        <v>0.61975749999999996</v>
      </c>
      <c r="Z127" s="48"/>
      <c r="AA127" s="178">
        <f t="shared" si="72"/>
        <v>11666.666666666668</v>
      </c>
      <c r="AB127" s="147"/>
      <c r="AC127" s="147">
        <v>20000</v>
      </c>
      <c r="AD127" s="183"/>
      <c r="AE127" s="183">
        <f t="shared" si="55"/>
        <v>7604.85</v>
      </c>
      <c r="AF127" s="49">
        <f t="shared" si="51"/>
        <v>-8333.3333333333321</v>
      </c>
      <c r="AG127" s="50">
        <f t="shared" si="73"/>
        <v>1666.6666666666667</v>
      </c>
      <c r="AH127" s="25"/>
    </row>
    <row r="128" spans="1:34" ht="16" x14ac:dyDescent="0.2">
      <c r="A128" s="32"/>
      <c r="B128" s="32"/>
      <c r="C128" s="32"/>
      <c r="D128" s="32" t="s">
        <v>212</v>
      </c>
      <c r="E128" s="32"/>
      <c r="F128" s="32"/>
      <c r="G128" s="129"/>
      <c r="H128" s="146"/>
      <c r="I128" s="147"/>
      <c r="J128" s="147"/>
      <c r="K128" s="147"/>
      <c r="L128" s="147"/>
      <c r="M128" s="147"/>
      <c r="N128" s="147"/>
      <c r="O128" s="147"/>
      <c r="P128" s="147"/>
      <c r="Q128" s="147"/>
      <c r="R128" s="147"/>
      <c r="S128" s="257"/>
      <c r="T128" s="229">
        <f t="shared" si="74"/>
        <v>0</v>
      </c>
      <c r="U128" s="147">
        <f t="shared" si="47"/>
        <v>0</v>
      </c>
      <c r="V128" s="147"/>
      <c r="W128" s="148">
        <f t="shared" si="75"/>
        <v>0</v>
      </c>
      <c r="X128" s="48"/>
      <c r="Y128" s="197" t="e">
        <f t="shared" si="70"/>
        <v>#DIV/0!</v>
      </c>
      <c r="Z128" s="48"/>
      <c r="AA128" s="178">
        <f t="shared" si="72"/>
        <v>0</v>
      </c>
      <c r="AB128" s="147"/>
      <c r="AC128" s="147">
        <v>0</v>
      </c>
      <c r="AD128" s="183"/>
      <c r="AE128" s="183">
        <f t="shared" si="55"/>
        <v>0</v>
      </c>
      <c r="AF128" s="49">
        <f t="shared" si="51"/>
        <v>0</v>
      </c>
      <c r="AG128" s="50">
        <f t="shared" si="73"/>
        <v>0</v>
      </c>
      <c r="AH128" s="25"/>
    </row>
    <row r="129" spans="1:34" ht="16" x14ac:dyDescent="0.2">
      <c r="A129" s="32"/>
      <c r="B129" s="32"/>
      <c r="C129" s="32"/>
      <c r="D129" s="32" t="s">
        <v>115</v>
      </c>
      <c r="E129" s="32"/>
      <c r="F129" s="32"/>
      <c r="G129" s="129"/>
      <c r="H129" s="146">
        <v>49.84</v>
      </c>
      <c r="I129" s="147">
        <v>49.84</v>
      </c>
      <c r="J129" s="147">
        <v>49.84</v>
      </c>
      <c r="K129" s="147">
        <v>49.84</v>
      </c>
      <c r="L129" s="147">
        <v>49.84</v>
      </c>
      <c r="M129" s="147">
        <v>49.84</v>
      </c>
      <c r="N129" s="147">
        <v>49.84</v>
      </c>
      <c r="O129" s="147"/>
      <c r="P129" s="147"/>
      <c r="Q129" s="147"/>
      <c r="R129" s="147"/>
      <c r="S129" s="257"/>
      <c r="T129" s="229">
        <f t="shared" si="74"/>
        <v>50</v>
      </c>
      <c r="U129" s="147">
        <f t="shared" si="47"/>
        <v>-1.1200000000000045</v>
      </c>
      <c r="V129" s="147"/>
      <c r="W129" s="148">
        <f t="shared" si="75"/>
        <v>348.88</v>
      </c>
      <c r="X129" s="48"/>
      <c r="Y129" s="197">
        <f t="shared" si="70"/>
        <v>0.58146666666666669</v>
      </c>
      <c r="Z129" s="48"/>
      <c r="AA129" s="178">
        <f t="shared" si="72"/>
        <v>350</v>
      </c>
      <c r="AB129" s="147"/>
      <c r="AC129" s="147">
        <v>600</v>
      </c>
      <c r="AD129" s="183"/>
      <c r="AE129" s="183">
        <f t="shared" si="55"/>
        <v>251.12</v>
      </c>
      <c r="AF129" s="49">
        <f t="shared" si="51"/>
        <v>-250</v>
      </c>
      <c r="AG129" s="50">
        <f t="shared" si="73"/>
        <v>50</v>
      </c>
      <c r="AH129" s="25"/>
    </row>
    <row r="130" spans="1:34" ht="16" x14ac:dyDescent="0.2">
      <c r="A130" s="32"/>
      <c r="B130" s="32"/>
      <c r="C130" s="32"/>
      <c r="D130" s="32" t="s">
        <v>116</v>
      </c>
      <c r="E130" s="32"/>
      <c r="F130" s="32"/>
      <c r="G130" s="129"/>
      <c r="H130" s="146"/>
      <c r="I130" s="147"/>
      <c r="J130" s="147"/>
      <c r="K130" s="147"/>
      <c r="L130" s="147"/>
      <c r="M130" s="147"/>
      <c r="N130" s="147"/>
      <c r="O130" s="147"/>
      <c r="P130" s="147"/>
      <c r="Q130" s="147"/>
      <c r="R130" s="147"/>
      <c r="S130" s="257"/>
      <c r="T130" s="229">
        <f t="shared" si="74"/>
        <v>416.66666666666669</v>
      </c>
      <c r="U130" s="147">
        <f t="shared" si="47"/>
        <v>-2916.666666666667</v>
      </c>
      <c r="V130" s="147"/>
      <c r="W130" s="148">
        <f t="shared" si="75"/>
        <v>0</v>
      </c>
      <c r="X130" s="48"/>
      <c r="Y130" s="197">
        <f t="shared" si="70"/>
        <v>0</v>
      </c>
      <c r="Z130" s="48"/>
      <c r="AA130" s="178">
        <f t="shared" si="72"/>
        <v>2916.666666666667</v>
      </c>
      <c r="AB130" s="147"/>
      <c r="AC130" s="147">
        <v>5000</v>
      </c>
      <c r="AD130" s="183"/>
      <c r="AE130" s="183">
        <f t="shared" si="55"/>
        <v>5000</v>
      </c>
      <c r="AF130" s="49">
        <f t="shared" si="51"/>
        <v>-2083.333333333333</v>
      </c>
      <c r="AG130" s="50">
        <f t="shared" si="73"/>
        <v>416.66666666666669</v>
      </c>
      <c r="AH130" s="25"/>
    </row>
    <row r="131" spans="1:34" ht="16" x14ac:dyDescent="0.2">
      <c r="A131" s="32"/>
      <c r="B131" s="32"/>
      <c r="C131" s="32"/>
      <c r="D131" s="32" t="s">
        <v>117</v>
      </c>
      <c r="E131" s="32"/>
      <c r="F131" s="32"/>
      <c r="G131" s="129"/>
      <c r="H131" s="146">
        <v>1010.69</v>
      </c>
      <c r="I131" s="147">
        <v>1334.64</v>
      </c>
      <c r="J131" s="147">
        <v>681.45</v>
      </c>
      <c r="K131" s="147">
        <v>630.04999999999995</v>
      </c>
      <c r="L131" s="147">
        <v>261.62</v>
      </c>
      <c r="M131" s="147">
        <v>230.71</v>
      </c>
      <c r="N131" s="147">
        <v>-281.39999999999998</v>
      </c>
      <c r="O131" s="147"/>
      <c r="P131" s="147"/>
      <c r="Q131" s="147"/>
      <c r="R131" s="147"/>
      <c r="S131" s="257"/>
      <c r="T131" s="229">
        <f t="shared" si="74"/>
        <v>2166.6666666666665</v>
      </c>
      <c r="U131" s="147">
        <f t="shared" si="47"/>
        <v>-11298.906666666666</v>
      </c>
      <c r="V131" s="147"/>
      <c r="W131" s="148">
        <f t="shared" si="75"/>
        <v>3867.7599999999998</v>
      </c>
      <c r="X131" s="48"/>
      <c r="Y131" s="197">
        <f t="shared" si="70"/>
        <v>0.14876</v>
      </c>
      <c r="Z131" s="48"/>
      <c r="AA131" s="178">
        <f t="shared" si="72"/>
        <v>15166.666666666666</v>
      </c>
      <c r="AB131" s="147"/>
      <c r="AC131" s="147">
        <v>26000</v>
      </c>
      <c r="AD131" s="183"/>
      <c r="AE131" s="183">
        <f t="shared" si="55"/>
        <v>22132.240000000002</v>
      </c>
      <c r="AF131" s="49">
        <f t="shared" si="51"/>
        <v>-10833.333333333334</v>
      </c>
      <c r="AG131" s="50">
        <f t="shared" si="73"/>
        <v>2166.6666666666665</v>
      </c>
      <c r="AH131" s="25"/>
    </row>
    <row r="132" spans="1:34" ht="16" x14ac:dyDescent="0.2">
      <c r="A132" s="32"/>
      <c r="B132" s="32"/>
      <c r="C132" s="32"/>
      <c r="D132" s="32" t="s">
        <v>184</v>
      </c>
      <c r="E132" s="32"/>
      <c r="F132" s="32"/>
      <c r="G132" s="129"/>
      <c r="H132" s="146"/>
      <c r="I132" s="147">
        <v>112.17</v>
      </c>
      <c r="J132" s="147"/>
      <c r="K132" s="147"/>
      <c r="L132" s="147"/>
      <c r="M132" s="147"/>
      <c r="N132" s="147"/>
      <c r="O132" s="147"/>
      <c r="P132" s="147"/>
      <c r="Q132" s="147"/>
      <c r="R132" s="147"/>
      <c r="S132" s="257"/>
      <c r="T132" s="229">
        <f t="shared" si="74"/>
        <v>41.666666666666664</v>
      </c>
      <c r="U132" s="147">
        <f t="shared" si="47"/>
        <v>-179.49666666666661</v>
      </c>
      <c r="V132" s="147"/>
      <c r="W132" s="148">
        <f t="shared" si="75"/>
        <v>112.17</v>
      </c>
      <c r="X132" s="48"/>
      <c r="Y132" s="197">
        <f t="shared" si="70"/>
        <v>0.22434000000000001</v>
      </c>
      <c r="Z132" s="48"/>
      <c r="AA132" s="178">
        <f t="shared" si="72"/>
        <v>291.66666666666663</v>
      </c>
      <c r="AB132" s="147"/>
      <c r="AC132" s="147">
        <v>500</v>
      </c>
      <c r="AD132" s="183"/>
      <c r="AE132" s="183">
        <f t="shared" si="55"/>
        <v>387.83</v>
      </c>
      <c r="AF132" s="49">
        <f t="shared" si="51"/>
        <v>-208.33333333333337</v>
      </c>
      <c r="AG132" s="50">
        <f t="shared" si="73"/>
        <v>41.666666666666664</v>
      </c>
      <c r="AH132" s="25"/>
    </row>
    <row r="133" spans="1:34" ht="16" x14ac:dyDescent="0.2">
      <c r="A133" s="32"/>
      <c r="B133" s="32"/>
      <c r="C133" s="32"/>
      <c r="D133" s="93" t="s">
        <v>200</v>
      </c>
      <c r="E133" s="93"/>
      <c r="F133" s="93"/>
      <c r="G133" s="130"/>
      <c r="H133" s="149"/>
      <c r="I133" s="150"/>
      <c r="J133" s="150"/>
      <c r="K133" s="150"/>
      <c r="L133" s="150"/>
      <c r="M133" s="150"/>
      <c r="N133" s="150"/>
      <c r="O133" s="150"/>
      <c r="P133" s="150"/>
      <c r="Q133" s="150"/>
      <c r="R133" s="150"/>
      <c r="S133" s="258"/>
      <c r="T133" s="230"/>
      <c r="U133" s="150"/>
      <c r="V133" s="150"/>
      <c r="W133" s="150"/>
      <c r="X133" s="94"/>
      <c r="Y133" s="205"/>
      <c r="Z133" s="94"/>
      <c r="AA133" s="150"/>
      <c r="AB133" s="150"/>
      <c r="AC133" s="150"/>
      <c r="AD133" s="184"/>
      <c r="AE133" s="184"/>
      <c r="AF133" s="49"/>
      <c r="AG133" s="50"/>
      <c r="AH133" s="25"/>
    </row>
    <row r="134" spans="1:34" ht="16" x14ac:dyDescent="0.2">
      <c r="A134" s="32"/>
      <c r="B134" s="32"/>
      <c r="C134" s="32"/>
      <c r="E134" s="32" t="s">
        <v>172</v>
      </c>
      <c r="F134" s="32"/>
      <c r="G134" s="129"/>
      <c r="H134" s="146">
        <v>349.84</v>
      </c>
      <c r="I134" s="147">
        <v>619.53</v>
      </c>
      <c r="J134" s="147">
        <v>133.38999999999999</v>
      </c>
      <c r="K134" s="147">
        <v>374.98</v>
      </c>
      <c r="L134" s="147">
        <v>374.98</v>
      </c>
      <c r="M134" s="147">
        <v>374.98</v>
      </c>
      <c r="N134" s="147">
        <v>243.38</v>
      </c>
      <c r="O134" s="147"/>
      <c r="P134" s="147"/>
      <c r="Q134" s="147"/>
      <c r="R134" s="147"/>
      <c r="S134" s="257"/>
      <c r="T134" s="229">
        <f>AC134/12</f>
        <v>416.66666666666669</v>
      </c>
      <c r="U134" s="147">
        <f t="shared" si="47"/>
        <v>-445.58666666666704</v>
      </c>
      <c r="V134" s="147"/>
      <c r="W134" s="148">
        <f>SUM(H134:S134)</f>
        <v>2471.08</v>
      </c>
      <c r="X134" s="48"/>
      <c r="Y134" s="197">
        <f t="shared" si="70"/>
        <v>0.49421599999999999</v>
      </c>
      <c r="Z134" s="48"/>
      <c r="AA134" s="178">
        <f t="shared" si="72"/>
        <v>2916.666666666667</v>
      </c>
      <c r="AB134" s="147"/>
      <c r="AC134" s="147">
        <v>5000</v>
      </c>
      <c r="AD134" s="183"/>
      <c r="AE134" s="183">
        <f t="shared" si="55"/>
        <v>2528.92</v>
      </c>
      <c r="AF134" s="49">
        <f t="shared" si="51"/>
        <v>-2083.333333333333</v>
      </c>
      <c r="AG134" s="50">
        <f>+AC134/12</f>
        <v>416.66666666666669</v>
      </c>
      <c r="AH134" s="25"/>
    </row>
    <row r="135" spans="1:34" ht="16" x14ac:dyDescent="0.2">
      <c r="A135" s="32"/>
      <c r="B135" s="32"/>
      <c r="C135" s="32"/>
      <c r="E135" s="32" t="s">
        <v>173</v>
      </c>
      <c r="F135" s="32"/>
      <c r="G135" s="129"/>
      <c r="H135" s="146">
        <v>449.9</v>
      </c>
      <c r="I135" s="147">
        <v>885.15</v>
      </c>
      <c r="J135" s="147"/>
      <c r="K135" s="147">
        <v>466.96</v>
      </c>
      <c r="L135" s="147">
        <v>431.93</v>
      </c>
      <c r="M135" s="147">
        <v>312.87</v>
      </c>
      <c r="N135" s="147">
        <v>279.74</v>
      </c>
      <c r="O135" s="147"/>
      <c r="P135" s="147"/>
      <c r="Q135" s="147"/>
      <c r="R135" s="147"/>
      <c r="S135" s="257"/>
      <c r="T135" s="229">
        <f>AC135/12</f>
        <v>375</v>
      </c>
      <c r="U135" s="147">
        <f t="shared" si="47"/>
        <v>201.55000000000018</v>
      </c>
      <c r="V135" s="147"/>
      <c r="W135" s="148">
        <f>SUM(H135:S135)</f>
        <v>2826.55</v>
      </c>
      <c r="X135" s="48"/>
      <c r="Y135" s="197">
        <f t="shared" si="70"/>
        <v>0.62812222222222225</v>
      </c>
      <c r="Z135" s="48"/>
      <c r="AA135" s="178">
        <f t="shared" si="72"/>
        <v>2625</v>
      </c>
      <c r="AB135" s="147"/>
      <c r="AC135" s="147">
        <v>4500</v>
      </c>
      <c r="AD135" s="183"/>
      <c r="AE135" s="183">
        <f t="shared" si="55"/>
        <v>1673.4499999999998</v>
      </c>
      <c r="AF135" s="49">
        <f t="shared" si="51"/>
        <v>-1875</v>
      </c>
      <c r="AG135" s="50">
        <f>+AC135/12</f>
        <v>375</v>
      </c>
      <c r="AH135" s="25"/>
    </row>
    <row r="136" spans="1:34" ht="17" thickBot="1" x14ac:dyDescent="0.25">
      <c r="A136" s="32"/>
      <c r="B136" s="32"/>
      <c r="C136" s="32"/>
      <c r="D136" s="112" t="s">
        <v>201</v>
      </c>
      <c r="E136" s="113"/>
      <c r="F136" s="113"/>
      <c r="G136" s="139"/>
      <c r="H136" s="168">
        <f t="shared" ref="H136:T136" si="76">SUM(H134:H135)</f>
        <v>799.74</v>
      </c>
      <c r="I136" s="169">
        <f t="shared" si="76"/>
        <v>1504.6799999999998</v>
      </c>
      <c r="J136" s="169">
        <f t="shared" si="76"/>
        <v>133.38999999999999</v>
      </c>
      <c r="K136" s="169">
        <f t="shared" si="76"/>
        <v>841.94</v>
      </c>
      <c r="L136" s="169">
        <f t="shared" si="76"/>
        <v>806.91000000000008</v>
      </c>
      <c r="M136" s="169">
        <f t="shared" si="76"/>
        <v>687.85</v>
      </c>
      <c r="N136" s="169">
        <f t="shared" si="76"/>
        <v>523.12</v>
      </c>
      <c r="O136" s="169">
        <f t="shared" si="76"/>
        <v>0</v>
      </c>
      <c r="P136" s="169">
        <f t="shared" si="76"/>
        <v>0</v>
      </c>
      <c r="Q136" s="169">
        <f t="shared" si="76"/>
        <v>0</v>
      </c>
      <c r="R136" s="169">
        <f t="shared" si="76"/>
        <v>0</v>
      </c>
      <c r="S136" s="269">
        <f t="shared" si="76"/>
        <v>0</v>
      </c>
      <c r="T136" s="269">
        <f t="shared" si="76"/>
        <v>791.66666666666674</v>
      </c>
      <c r="U136" s="169">
        <f>SUM(U134:U135)</f>
        <v>-244.03666666666686</v>
      </c>
      <c r="V136" s="169">
        <f>SUM(V134:V135)</f>
        <v>0</v>
      </c>
      <c r="W136" s="169">
        <f>SUM(W134:W135)</f>
        <v>5297.63</v>
      </c>
      <c r="X136" s="114"/>
      <c r="Y136" s="206">
        <f t="shared" si="70"/>
        <v>0.55764526315789475</v>
      </c>
      <c r="Z136" s="114"/>
      <c r="AA136" s="169">
        <f>SUM(AA134:AA135)</f>
        <v>5541.666666666667</v>
      </c>
      <c r="AB136" s="169"/>
      <c r="AC136" s="169">
        <f>SUM(AC134:AC135)</f>
        <v>9500</v>
      </c>
      <c r="AD136" s="188"/>
      <c r="AE136" s="188">
        <f>SUM(AE134:AE135)</f>
        <v>4202.37</v>
      </c>
      <c r="AF136" s="49"/>
      <c r="AG136" s="50"/>
      <c r="AH136" s="25"/>
    </row>
    <row r="137" spans="1:34" ht="17" thickBot="1" x14ac:dyDescent="0.25">
      <c r="A137" s="32"/>
      <c r="B137" s="32"/>
      <c r="C137" s="104" t="s">
        <v>118</v>
      </c>
      <c r="D137" s="104"/>
      <c r="E137" s="104"/>
      <c r="F137" s="104"/>
      <c r="G137" s="132"/>
      <c r="H137" s="157">
        <f>H116+H118+H120+H119+H125+H127+H129+H130+H131+H132+H134+H135+H114+H115+H121+H122+H123+H124+H126+H128+H117</f>
        <v>5858.65</v>
      </c>
      <c r="I137" s="155">
        <f>I114+I115+I116+I117+I118+I119+I120+I121+I122+I123+I124+I125+I126+I127+I128+I129+I130+I131+I132+I134+I135</f>
        <v>9242.2800000000007</v>
      </c>
      <c r="J137" s="155">
        <f>J114+J115+J116+J117+J118+J119+J120+J121+J122+J123+J124+J125+J126+J127+J128+J129+J130+J131+J132+J134+J135</f>
        <v>8292.94</v>
      </c>
      <c r="K137" s="155">
        <f>K114+K115+K116+K117+K118+K119+K120+K121+K122+K123+K124+K125+K126+K127+K128+K129+K130+K131+K132+K134+K135</f>
        <v>5270.1500000000005</v>
      </c>
      <c r="L137" s="155">
        <f>L114+L115+L117+L116+L118+L119+L120+L121+L122+L123+L124+L125+L126+L127+L128+L129+L130+L131+L132+L134+L135</f>
        <v>10923.36</v>
      </c>
      <c r="M137" s="155">
        <f>M114+M115+M116+M117+M118+M119+M120+M121+M122+M123+M124+M125+M126+M127++M128+M129+M130+M131+M132+M134+M135</f>
        <v>4934.63</v>
      </c>
      <c r="N137" s="155">
        <f>N114+N115+N116+N117+N118+N119+N120+N121+N123+N124+N122+N125+N126+N127+N129+N128+N130+N131+N132+N134+N135</f>
        <v>4726.87</v>
      </c>
      <c r="O137" s="155">
        <f>O114+O115+O116+O117+O118+O119+O120+O121+O123+O124+O122+O125+O126+O127+O129+O128+O130+O131+O132+O134+O135</f>
        <v>0</v>
      </c>
      <c r="P137" s="155">
        <f>P114+P115+P116+P117+P118++P119+P120+P121+P122+P123+P125+P126+P127+P124+P128+P129+P130+P131+P132+P134+P135</f>
        <v>0</v>
      </c>
      <c r="Q137" s="155">
        <f>Q114+Q115+Q116+Q117+Q118++Q119+Q120+Q121+Q122+Q123+Q125+Q126+Q127+Q124+Q128+Q129+Q130+Q131+Q132+Q134+Q135</f>
        <v>0</v>
      </c>
      <c r="R137" s="155">
        <f>R114+R115+R116+R117+R118+R119+R120+R121+R122+R123+R124+R125+R126+R127+R128+R129+R130+R131+R132+R134+R135</f>
        <v>0</v>
      </c>
      <c r="S137" s="262">
        <f>S114+S115+S116+S117+S119+S118+S120+S122+S121+S123+S125+S124+S126+S128+S127+S129+S130+S131+S132+S134+S135</f>
        <v>0</v>
      </c>
      <c r="T137" s="233">
        <f>AC137/12</f>
        <v>8827.0833333333339</v>
      </c>
      <c r="U137" s="155">
        <f t="shared" si="47"/>
        <v>-12540.703333333324</v>
      </c>
      <c r="V137" s="155"/>
      <c r="W137" s="156">
        <f>SUM(H137:S137)</f>
        <v>49248.880000000005</v>
      </c>
      <c r="X137" s="53"/>
      <c r="Y137" s="199">
        <f t="shared" si="70"/>
        <v>0.46494104319093704</v>
      </c>
      <c r="Z137" s="53"/>
      <c r="AA137" s="180">
        <f>SUM(AA114:AA135)</f>
        <v>61789.583333333328</v>
      </c>
      <c r="AB137" s="155">
        <f>SUM(AB114:AB135)</f>
        <v>0</v>
      </c>
      <c r="AC137" s="155">
        <f>SUM(AC114:AC135)</f>
        <v>105925</v>
      </c>
      <c r="AD137" s="187"/>
      <c r="AE137" s="155">
        <f>SUM(AE114:AE135)</f>
        <v>56676.12</v>
      </c>
      <c r="AF137" s="49">
        <f t="shared" si="51"/>
        <v>-44135.416666666672</v>
      </c>
      <c r="AG137" s="50"/>
      <c r="AH137" s="25"/>
    </row>
    <row r="138" spans="1:34" ht="29" customHeight="1" x14ac:dyDescent="0.2">
      <c r="A138" s="32"/>
      <c r="B138" s="32"/>
      <c r="C138" s="32" t="s">
        <v>119</v>
      </c>
      <c r="D138" s="32"/>
      <c r="E138" s="32"/>
      <c r="F138" s="32"/>
      <c r="G138" s="129"/>
      <c r="H138" s="143"/>
      <c r="I138" s="48"/>
      <c r="J138" s="48"/>
      <c r="K138" s="48"/>
      <c r="L138" s="48"/>
      <c r="M138" s="48"/>
      <c r="N138" s="48"/>
      <c r="O138" s="48"/>
      <c r="P138" s="48"/>
      <c r="Q138" s="48"/>
      <c r="R138" s="48"/>
      <c r="S138" s="261"/>
      <c r="T138" s="234" t="s">
        <v>178</v>
      </c>
      <c r="U138" s="48" t="s">
        <v>178</v>
      </c>
      <c r="V138" s="48"/>
      <c r="W138" s="82" t="s">
        <v>178</v>
      </c>
      <c r="X138" s="48"/>
      <c r="Y138" s="48"/>
      <c r="Z138" s="48"/>
      <c r="AA138" s="178"/>
      <c r="AB138" s="147"/>
      <c r="AC138" s="147"/>
      <c r="AD138" s="183"/>
      <c r="AE138" s="183"/>
      <c r="AF138" s="49">
        <f t="shared" si="51"/>
        <v>0</v>
      </c>
      <c r="AG138" s="50">
        <f t="shared" ref="AG138:AG144" si="77">+AC138/12</f>
        <v>0</v>
      </c>
      <c r="AH138" s="25"/>
    </row>
    <row r="139" spans="1:34" ht="16" x14ac:dyDescent="0.2">
      <c r="A139" s="32"/>
      <c r="B139" s="32"/>
      <c r="C139" s="32"/>
      <c r="D139" s="32" t="s">
        <v>120</v>
      </c>
      <c r="E139" s="32"/>
      <c r="F139" s="32"/>
      <c r="G139" s="129"/>
      <c r="H139" s="146">
        <v>2528.59</v>
      </c>
      <c r="I139" s="147">
        <v>2528.59</v>
      </c>
      <c r="J139" s="147">
        <v>2529.59</v>
      </c>
      <c r="K139" s="147">
        <v>2528.59</v>
      </c>
      <c r="L139" s="147">
        <v>2528.59</v>
      </c>
      <c r="M139" s="147">
        <v>2528.59</v>
      </c>
      <c r="N139" s="147">
        <v>2528.59</v>
      </c>
      <c r="O139" s="147"/>
      <c r="P139" s="147"/>
      <c r="Q139" s="147"/>
      <c r="R139" s="147"/>
      <c r="S139" s="257"/>
      <c r="T139" s="229">
        <f t="shared" ref="T139:T146" si="78">AC139/12</f>
        <v>2583.3333333333335</v>
      </c>
      <c r="U139" s="147">
        <f t="shared" si="47"/>
        <v>-382.20333333333474</v>
      </c>
      <c r="V139" s="147"/>
      <c r="W139" s="148">
        <f t="shared" ref="W139:W146" si="79">SUM(H139:S139)</f>
        <v>17701.13</v>
      </c>
      <c r="X139" s="48"/>
      <c r="Y139" s="197">
        <f t="shared" ref="Y139:Y146" si="80">W139/AC139</f>
        <v>0.57100419354838716</v>
      </c>
      <c r="Z139" s="48"/>
      <c r="AA139" s="178">
        <f t="shared" ref="AA139:AA144" si="81">AC139/12*$AI$5</f>
        <v>18083.333333333336</v>
      </c>
      <c r="AB139" s="147"/>
      <c r="AC139" s="147">
        <v>31000</v>
      </c>
      <c r="AD139" s="183"/>
      <c r="AE139" s="183">
        <f t="shared" si="55"/>
        <v>13298.869999999999</v>
      </c>
      <c r="AF139" s="49">
        <f t="shared" si="51"/>
        <v>-12916.666666666664</v>
      </c>
      <c r="AG139" s="50">
        <f t="shared" si="77"/>
        <v>2583.3333333333335</v>
      </c>
      <c r="AH139" s="25"/>
    </row>
    <row r="140" spans="1:34" ht="16" x14ac:dyDescent="0.2">
      <c r="A140" s="32"/>
      <c r="B140" s="32"/>
      <c r="C140" s="32"/>
      <c r="D140" s="32" t="s">
        <v>121</v>
      </c>
      <c r="E140" s="32"/>
      <c r="F140" s="32"/>
      <c r="G140" s="129"/>
      <c r="H140" s="146">
        <v>462.92</v>
      </c>
      <c r="I140" s="147">
        <v>462.92</v>
      </c>
      <c r="J140" s="147">
        <v>462.92</v>
      </c>
      <c r="K140" s="147">
        <v>462.92</v>
      </c>
      <c r="L140" s="147">
        <v>462.92</v>
      </c>
      <c r="M140" s="147">
        <v>462.92</v>
      </c>
      <c r="N140" s="147">
        <v>462.92</v>
      </c>
      <c r="O140" s="147"/>
      <c r="P140" s="147"/>
      <c r="Q140" s="147"/>
      <c r="R140" s="147"/>
      <c r="S140" s="257"/>
      <c r="T140" s="229">
        <f t="shared" si="78"/>
        <v>458.33333333333331</v>
      </c>
      <c r="U140" s="147">
        <f t="shared" ref="U140:U191" si="82">W140-AA140</f>
        <v>32.106666666667024</v>
      </c>
      <c r="V140" s="147"/>
      <c r="W140" s="148">
        <f t="shared" si="79"/>
        <v>3240.44</v>
      </c>
      <c r="X140" s="48"/>
      <c r="Y140" s="197">
        <f t="shared" si="80"/>
        <v>0.58917090909090908</v>
      </c>
      <c r="Z140" s="48"/>
      <c r="AA140" s="178">
        <f t="shared" si="81"/>
        <v>3208.333333333333</v>
      </c>
      <c r="AB140" s="147"/>
      <c r="AC140" s="147">
        <v>5500</v>
      </c>
      <c r="AD140" s="183"/>
      <c r="AE140" s="183">
        <f t="shared" si="55"/>
        <v>2259.56</v>
      </c>
      <c r="AF140" s="49">
        <f t="shared" si="51"/>
        <v>-2291.666666666667</v>
      </c>
      <c r="AG140" s="50">
        <f t="shared" si="77"/>
        <v>458.33333333333331</v>
      </c>
      <c r="AH140" s="25"/>
    </row>
    <row r="141" spans="1:34" ht="16" x14ac:dyDescent="0.2">
      <c r="A141" s="32"/>
      <c r="B141" s="32"/>
      <c r="C141" s="32"/>
      <c r="D141" s="32" t="s">
        <v>122</v>
      </c>
      <c r="E141" s="32"/>
      <c r="F141" s="32"/>
      <c r="G141" s="129"/>
      <c r="H141" s="146">
        <v>151.25</v>
      </c>
      <c r="I141" s="147">
        <v>151.25</v>
      </c>
      <c r="J141" s="147">
        <v>151.25</v>
      </c>
      <c r="K141" s="147">
        <v>151.25</v>
      </c>
      <c r="L141" s="147">
        <v>151.25</v>
      </c>
      <c r="M141" s="147">
        <v>151.25</v>
      </c>
      <c r="N141" s="147">
        <v>151.25</v>
      </c>
      <c r="O141" s="147"/>
      <c r="P141" s="147"/>
      <c r="Q141" s="147"/>
      <c r="R141" s="147"/>
      <c r="S141" s="257"/>
      <c r="T141" s="229">
        <f t="shared" si="78"/>
        <v>158.33333333333334</v>
      </c>
      <c r="U141" s="147">
        <f t="shared" si="82"/>
        <v>-49.583333333333485</v>
      </c>
      <c r="V141" s="147"/>
      <c r="W141" s="148">
        <f t="shared" si="79"/>
        <v>1058.75</v>
      </c>
      <c r="X141" s="48"/>
      <c r="Y141" s="197">
        <f>W141/AC141</f>
        <v>0.55723684210526314</v>
      </c>
      <c r="Z141" s="48"/>
      <c r="AA141" s="178">
        <f t="shared" si="81"/>
        <v>1108.3333333333335</v>
      </c>
      <c r="AB141" s="147"/>
      <c r="AC141" s="147">
        <v>1900</v>
      </c>
      <c r="AD141" s="183"/>
      <c r="AE141" s="183">
        <f t="shared" si="55"/>
        <v>841.25</v>
      </c>
      <c r="AF141" s="49">
        <f t="shared" si="51"/>
        <v>-791.66666666666652</v>
      </c>
      <c r="AG141" s="50">
        <f t="shared" si="77"/>
        <v>158.33333333333334</v>
      </c>
      <c r="AH141" s="25"/>
    </row>
    <row r="142" spans="1:34" ht="16" x14ac:dyDescent="0.2">
      <c r="A142" s="32"/>
      <c r="B142" s="32"/>
      <c r="C142" s="32"/>
      <c r="D142" s="32" t="s">
        <v>123</v>
      </c>
      <c r="E142" s="32"/>
      <c r="F142" s="32"/>
      <c r="G142" s="129"/>
      <c r="H142" s="146"/>
      <c r="I142" s="147"/>
      <c r="J142" s="147">
        <v>177.72</v>
      </c>
      <c r="K142" s="147"/>
      <c r="L142" s="147"/>
      <c r="M142" s="147">
        <v>491.68</v>
      </c>
      <c r="N142" s="147"/>
      <c r="O142" s="147"/>
      <c r="P142" s="147"/>
      <c r="Q142" s="147"/>
      <c r="R142" s="147"/>
      <c r="S142" s="257"/>
      <c r="T142" s="229">
        <f t="shared" si="78"/>
        <v>166.66666666666666</v>
      </c>
      <c r="U142" s="147">
        <f t="shared" si="82"/>
        <v>-497.26666666666654</v>
      </c>
      <c r="V142" s="147"/>
      <c r="W142" s="148">
        <f t="shared" si="79"/>
        <v>669.4</v>
      </c>
      <c r="X142" s="48"/>
      <c r="Y142" s="197">
        <f t="shared" si="80"/>
        <v>0.3347</v>
      </c>
      <c r="Z142" s="48"/>
      <c r="AA142" s="178">
        <f t="shared" si="81"/>
        <v>1166.6666666666665</v>
      </c>
      <c r="AB142" s="147"/>
      <c r="AC142" s="147">
        <v>2000</v>
      </c>
      <c r="AD142" s="183"/>
      <c r="AE142" s="183">
        <f t="shared" si="55"/>
        <v>1330.6</v>
      </c>
      <c r="AF142" s="49">
        <f t="shared" si="51"/>
        <v>-833.33333333333348</v>
      </c>
      <c r="AG142" s="50">
        <f t="shared" si="77"/>
        <v>166.66666666666666</v>
      </c>
      <c r="AH142" s="25"/>
    </row>
    <row r="143" spans="1:34" ht="16" x14ac:dyDescent="0.2">
      <c r="A143" s="32"/>
      <c r="B143" s="32"/>
      <c r="C143" s="32"/>
      <c r="D143" s="32" t="s">
        <v>124</v>
      </c>
      <c r="E143" s="32"/>
      <c r="F143" s="32"/>
      <c r="G143" s="129"/>
      <c r="H143" s="146"/>
      <c r="I143" s="147">
        <v>17.71</v>
      </c>
      <c r="J143" s="147">
        <v>177.72</v>
      </c>
      <c r="K143" s="147"/>
      <c r="L143" s="147"/>
      <c r="M143" s="147"/>
      <c r="N143" s="147"/>
      <c r="O143" s="147"/>
      <c r="P143" s="147"/>
      <c r="Q143" s="147"/>
      <c r="R143" s="147"/>
      <c r="S143" s="257"/>
      <c r="T143" s="229">
        <f t="shared" si="78"/>
        <v>166.66666666666666</v>
      </c>
      <c r="U143" s="147">
        <f t="shared" si="82"/>
        <v>-971.23666666666645</v>
      </c>
      <c r="V143" s="147"/>
      <c r="W143" s="148">
        <f t="shared" si="79"/>
        <v>195.43</v>
      </c>
      <c r="X143" s="48"/>
      <c r="Y143" s="197">
        <f t="shared" si="80"/>
        <v>9.771500000000001E-2</v>
      </c>
      <c r="Z143" s="48"/>
      <c r="AA143" s="178">
        <f t="shared" si="81"/>
        <v>1166.6666666666665</v>
      </c>
      <c r="AB143" s="147"/>
      <c r="AC143" s="147">
        <v>2000</v>
      </c>
      <c r="AD143" s="183"/>
      <c r="AE143" s="183">
        <f t="shared" si="55"/>
        <v>1804.57</v>
      </c>
      <c r="AF143" s="49">
        <f t="shared" si="51"/>
        <v>-833.33333333333348</v>
      </c>
      <c r="AG143" s="50">
        <f t="shared" si="77"/>
        <v>166.66666666666666</v>
      </c>
      <c r="AH143" s="25"/>
    </row>
    <row r="144" spans="1:34" ht="16" x14ac:dyDescent="0.2">
      <c r="A144" s="32"/>
      <c r="B144" s="32"/>
      <c r="C144" s="32"/>
      <c r="D144" s="32" t="s">
        <v>202</v>
      </c>
      <c r="E144" s="32"/>
      <c r="F144" s="32"/>
      <c r="G144" s="129"/>
      <c r="H144" s="146"/>
      <c r="I144" s="147"/>
      <c r="J144" s="147"/>
      <c r="K144" s="147"/>
      <c r="L144" s="147"/>
      <c r="M144" s="147"/>
      <c r="N144" s="147"/>
      <c r="O144" s="147"/>
      <c r="P144" s="147"/>
      <c r="Q144" s="147"/>
      <c r="R144" s="147"/>
      <c r="S144" s="257"/>
      <c r="T144" s="229">
        <f t="shared" si="78"/>
        <v>14355</v>
      </c>
      <c r="U144" s="147">
        <f t="shared" si="82"/>
        <v>-100485</v>
      </c>
      <c r="V144" s="147"/>
      <c r="W144" s="148">
        <f t="shared" si="79"/>
        <v>0</v>
      </c>
      <c r="X144" s="48"/>
      <c r="Y144" s="197">
        <f>W144/AC144</f>
        <v>0</v>
      </c>
      <c r="Z144" s="48"/>
      <c r="AA144" s="178">
        <f t="shared" si="81"/>
        <v>100485</v>
      </c>
      <c r="AB144" s="147"/>
      <c r="AC144" s="147">
        <v>172260</v>
      </c>
      <c r="AD144" s="183"/>
      <c r="AE144" s="183">
        <f t="shared" ref="AE144:AE191" si="83">AC144-W144</f>
        <v>172260</v>
      </c>
      <c r="AF144" s="49">
        <f t="shared" si="51"/>
        <v>-71775</v>
      </c>
      <c r="AG144" s="50">
        <f t="shared" si="77"/>
        <v>14355</v>
      </c>
      <c r="AH144" s="25"/>
    </row>
    <row r="145" spans="1:34" ht="17" thickBot="1" x14ac:dyDescent="0.25">
      <c r="A145" s="32"/>
      <c r="B145" s="32"/>
      <c r="C145" s="32"/>
      <c r="D145" s="32" t="s">
        <v>240</v>
      </c>
      <c r="E145" s="32"/>
      <c r="F145" s="32"/>
      <c r="G145" s="129"/>
      <c r="H145" s="146">
        <v>74586.52</v>
      </c>
      <c r="I145" s="147">
        <v>74586.52</v>
      </c>
      <c r="J145" s="147">
        <v>74586.52</v>
      </c>
      <c r="K145" s="147">
        <v>74586.52</v>
      </c>
      <c r="L145" s="147">
        <v>74586.52</v>
      </c>
      <c r="M145" s="147">
        <v>74586.52</v>
      </c>
      <c r="N145" s="147">
        <v>74586.52</v>
      </c>
      <c r="O145" s="147"/>
      <c r="P145" s="147"/>
      <c r="Q145" s="147"/>
      <c r="R145" s="147"/>
      <c r="S145" s="257"/>
      <c r="T145" s="229">
        <f t="shared" ref="T145" si="84">AC145/12</f>
        <v>74586.52</v>
      </c>
      <c r="U145" s="147">
        <f t="shared" ref="U145" si="85">W145-AA145</f>
        <v>0</v>
      </c>
      <c r="V145" s="147"/>
      <c r="W145" s="148">
        <f t="shared" ref="W145" si="86">SUM(H145:S145)</f>
        <v>522105.64000000007</v>
      </c>
      <c r="X145" s="48"/>
      <c r="Y145" s="197">
        <f>W145/AC145</f>
        <v>0.58333333333333337</v>
      </c>
      <c r="Z145" s="48"/>
      <c r="AA145" s="178">
        <f t="shared" ref="AA145" si="87">AC145/12*$AI$5</f>
        <v>522105.64</v>
      </c>
      <c r="AB145" s="147"/>
      <c r="AC145" s="147">
        <f>74586.52*12</f>
        <v>895038.24</v>
      </c>
      <c r="AD145" s="183"/>
      <c r="AE145" s="183">
        <f t="shared" ref="AE145" si="88">AC145-W145</f>
        <v>372932.59999999992</v>
      </c>
      <c r="AF145" s="49"/>
      <c r="AG145" s="50"/>
      <c r="AH145" s="25"/>
    </row>
    <row r="146" spans="1:34" ht="17" thickBot="1" x14ac:dyDescent="0.25">
      <c r="A146" s="32"/>
      <c r="B146" s="32"/>
      <c r="C146" s="104" t="s">
        <v>125</v>
      </c>
      <c r="D146" s="104"/>
      <c r="E146" s="104"/>
      <c r="F146" s="104"/>
      <c r="G146" s="132"/>
      <c r="H146" s="157">
        <f t="shared" ref="H146:N146" si="89">SUM(H139:H145)</f>
        <v>77729.279999999999</v>
      </c>
      <c r="I146" s="157">
        <f t="shared" si="89"/>
        <v>77746.990000000005</v>
      </c>
      <c r="J146" s="155">
        <f t="shared" si="89"/>
        <v>78085.72</v>
      </c>
      <c r="K146" s="157">
        <f t="shared" si="89"/>
        <v>77729.279999999999</v>
      </c>
      <c r="L146" s="157">
        <f t="shared" si="89"/>
        <v>77729.279999999999</v>
      </c>
      <c r="M146" s="155">
        <f t="shared" si="89"/>
        <v>78220.960000000006</v>
      </c>
      <c r="N146" s="155">
        <f t="shared" si="89"/>
        <v>77729.279999999999</v>
      </c>
      <c r="O146" s="155">
        <f t="shared" ref="O146:S146" si="90">SUM(O139:O144)</f>
        <v>0</v>
      </c>
      <c r="P146" s="155">
        <f t="shared" si="90"/>
        <v>0</v>
      </c>
      <c r="Q146" s="155">
        <f t="shared" si="90"/>
        <v>0</v>
      </c>
      <c r="R146" s="155">
        <f t="shared" si="90"/>
        <v>0</v>
      </c>
      <c r="S146" s="262">
        <f t="shared" si="90"/>
        <v>0</v>
      </c>
      <c r="T146" s="233">
        <f t="shared" si="78"/>
        <v>17888.333333333332</v>
      </c>
      <c r="U146" s="155">
        <f t="shared" si="82"/>
        <v>419752.45666666667</v>
      </c>
      <c r="V146" s="155"/>
      <c r="W146" s="156">
        <f t="shared" si="79"/>
        <v>544970.79</v>
      </c>
      <c r="X146" s="53"/>
      <c r="Y146" s="199">
        <f t="shared" si="80"/>
        <v>2.5387626479083205</v>
      </c>
      <c r="Z146" s="53"/>
      <c r="AA146" s="180">
        <f>SUM(AA139:AA144)</f>
        <v>125218.33333333334</v>
      </c>
      <c r="AB146" s="155">
        <f>SUM(AB139:AB144)</f>
        <v>0</v>
      </c>
      <c r="AC146" s="155">
        <f>SUM(AC139:AC144)</f>
        <v>214660</v>
      </c>
      <c r="AD146" s="187"/>
      <c r="AE146" s="155">
        <f>SUM(AE139:AE144)</f>
        <v>191794.85</v>
      </c>
      <c r="AF146" s="49">
        <f t="shared" ref="AF146:AF201" si="91">AA146-AC146</f>
        <v>-89441.666666666657</v>
      </c>
      <c r="AG146" s="50"/>
      <c r="AH146" s="25"/>
    </row>
    <row r="147" spans="1:34" ht="29" customHeight="1" x14ac:dyDescent="0.2">
      <c r="A147" s="32"/>
      <c r="B147" s="32"/>
      <c r="C147" s="32" t="s">
        <v>126</v>
      </c>
      <c r="D147" s="32"/>
      <c r="E147" s="32"/>
      <c r="F147" s="32"/>
      <c r="G147" s="129"/>
      <c r="H147" s="143"/>
      <c r="I147" s="48"/>
      <c r="J147" s="48"/>
      <c r="K147" s="48"/>
      <c r="L147" s="48"/>
      <c r="M147" s="48"/>
      <c r="N147" s="48"/>
      <c r="O147" s="48"/>
      <c r="P147" s="48"/>
      <c r="Q147" s="48"/>
      <c r="R147" s="48"/>
      <c r="S147" s="261"/>
      <c r="T147" s="234" t="s">
        <v>178</v>
      </c>
      <c r="U147" s="48" t="s">
        <v>178</v>
      </c>
      <c r="V147" s="48"/>
      <c r="W147" s="48" t="s">
        <v>178</v>
      </c>
      <c r="X147" s="48"/>
      <c r="Y147" s="48"/>
      <c r="Z147" s="48"/>
      <c r="AA147" s="147"/>
      <c r="AB147" s="147"/>
      <c r="AC147" s="147"/>
      <c r="AD147" s="183"/>
      <c r="AE147" s="183"/>
      <c r="AF147" s="49">
        <f t="shared" si="91"/>
        <v>0</v>
      </c>
      <c r="AG147" s="50"/>
      <c r="AH147" s="25"/>
    </row>
    <row r="148" spans="1:34" ht="16" x14ac:dyDescent="0.2">
      <c r="A148" s="32"/>
      <c r="B148" s="32"/>
      <c r="C148" s="32"/>
      <c r="D148" s="32" t="s">
        <v>127</v>
      </c>
      <c r="E148" s="32"/>
      <c r="F148" s="32"/>
      <c r="G148" s="129"/>
      <c r="H148" s="146"/>
      <c r="I148" s="147">
        <v>5000</v>
      </c>
      <c r="J148" s="147"/>
      <c r="K148" s="147"/>
      <c r="L148" s="147"/>
      <c r="M148" s="147">
        <v>33416.97</v>
      </c>
      <c r="N148" s="147">
        <v>7521.99</v>
      </c>
      <c r="O148" s="147"/>
      <c r="P148" s="147"/>
      <c r="Q148" s="147"/>
      <c r="R148" s="147"/>
      <c r="S148" s="257"/>
      <c r="T148" s="229">
        <f>AC148/12</f>
        <v>2083.3333333333335</v>
      </c>
      <c r="U148" s="147">
        <f t="shared" si="82"/>
        <v>31355.626666666663</v>
      </c>
      <c r="V148" s="147"/>
      <c r="W148" s="148">
        <f>SUM(H148:S148)</f>
        <v>45938.96</v>
      </c>
      <c r="X148" s="48"/>
      <c r="Y148" s="197">
        <f t="shared" ref="Y148:Y155" si="92">W148/AC148</f>
        <v>1.8375584</v>
      </c>
      <c r="Z148" s="48"/>
      <c r="AA148" s="178">
        <f t="shared" ref="AA148:AA154" si="93">AC148/12*$AI$5</f>
        <v>14583.333333333334</v>
      </c>
      <c r="AB148" s="147"/>
      <c r="AC148" s="147">
        <v>25000</v>
      </c>
      <c r="AD148" s="183"/>
      <c r="AE148" s="183">
        <f t="shared" si="83"/>
        <v>-20938.96</v>
      </c>
      <c r="AF148" s="49">
        <f t="shared" si="91"/>
        <v>-10416.666666666666</v>
      </c>
      <c r="AG148" s="50">
        <f t="shared" ref="AG148:AG154" si="94">+AC148/12</f>
        <v>2083.3333333333335</v>
      </c>
      <c r="AH148" s="25"/>
    </row>
    <row r="149" spans="1:34" ht="16" x14ac:dyDescent="0.2">
      <c r="A149" s="32"/>
      <c r="B149" s="32"/>
      <c r="C149" s="32"/>
      <c r="D149" s="32" t="s">
        <v>128</v>
      </c>
      <c r="E149" s="32"/>
      <c r="F149" s="32"/>
      <c r="G149" s="129"/>
      <c r="H149" s="183">
        <v>1250</v>
      </c>
      <c r="I149" s="147">
        <v>1025</v>
      </c>
      <c r="J149" s="147">
        <v>1025</v>
      </c>
      <c r="K149" s="147">
        <v>700</v>
      </c>
      <c r="L149" s="147">
        <v>900</v>
      </c>
      <c r="M149" s="147">
        <v>600</v>
      </c>
      <c r="N149" s="147">
        <v>450</v>
      </c>
      <c r="O149" s="183"/>
      <c r="P149" s="219"/>
      <c r="Q149" s="147"/>
      <c r="R149" s="147"/>
      <c r="S149" s="257"/>
      <c r="T149" s="229">
        <f t="shared" ref="T149:T155" si="95">AC149/12</f>
        <v>583.33333333333337</v>
      </c>
      <c r="U149" s="147">
        <f t="shared" si="82"/>
        <v>1866.6666666666665</v>
      </c>
      <c r="V149" s="147"/>
      <c r="W149" s="148">
        <f t="shared" ref="W149:W154" si="96">SUM(H149:S149)</f>
        <v>5950</v>
      </c>
      <c r="X149" s="48"/>
      <c r="Y149" s="197">
        <f t="shared" si="92"/>
        <v>0.85</v>
      </c>
      <c r="Z149" s="48"/>
      <c r="AA149" s="178">
        <f t="shared" si="93"/>
        <v>4083.3333333333335</v>
      </c>
      <c r="AB149" s="147"/>
      <c r="AC149" s="147">
        <v>7000</v>
      </c>
      <c r="AD149" s="183"/>
      <c r="AE149" s="183">
        <f t="shared" si="83"/>
        <v>1050</v>
      </c>
      <c r="AF149" s="49">
        <f t="shared" si="91"/>
        <v>-2916.6666666666665</v>
      </c>
      <c r="AG149" s="50">
        <f t="shared" si="94"/>
        <v>583.33333333333337</v>
      </c>
      <c r="AH149" s="25"/>
    </row>
    <row r="150" spans="1:34" ht="16" x14ac:dyDescent="0.2">
      <c r="A150" s="32"/>
      <c r="B150" s="32"/>
      <c r="C150" s="32"/>
      <c r="D150" s="32" t="s">
        <v>129</v>
      </c>
      <c r="E150" s="32"/>
      <c r="F150" s="32"/>
      <c r="G150" s="129"/>
      <c r="H150" s="146"/>
      <c r="I150" s="147">
        <v>14422.62</v>
      </c>
      <c r="J150" s="147">
        <v>17773.34</v>
      </c>
      <c r="K150" s="147">
        <v>106677.21</v>
      </c>
      <c r="L150" s="147">
        <v>35</v>
      </c>
      <c r="M150" s="147">
        <v>8943.98</v>
      </c>
      <c r="N150" s="147">
        <v>11922.17</v>
      </c>
      <c r="O150" s="147"/>
      <c r="P150" s="147"/>
      <c r="Q150" s="147"/>
      <c r="R150" s="147"/>
      <c r="S150" s="257"/>
      <c r="T150" s="229">
        <f t="shared" si="95"/>
        <v>6250</v>
      </c>
      <c r="U150" s="147">
        <f t="shared" si="82"/>
        <v>116024.32000000004</v>
      </c>
      <c r="V150" s="147"/>
      <c r="W150" s="148">
        <f t="shared" si="96"/>
        <v>159774.32000000004</v>
      </c>
      <c r="X150" s="48"/>
      <c r="Y150" s="197">
        <f t="shared" si="92"/>
        <v>2.1303242666666673</v>
      </c>
      <c r="Z150" s="48"/>
      <c r="AA150" s="178">
        <f t="shared" si="93"/>
        <v>43750</v>
      </c>
      <c r="AB150" s="147"/>
      <c r="AC150" s="147">
        <v>75000</v>
      </c>
      <c r="AD150" s="183"/>
      <c r="AE150" s="183">
        <f t="shared" si="83"/>
        <v>-84774.320000000036</v>
      </c>
      <c r="AF150" s="49">
        <f t="shared" si="91"/>
        <v>-31250</v>
      </c>
      <c r="AG150" s="50">
        <f t="shared" si="94"/>
        <v>6250</v>
      </c>
      <c r="AH150" s="25"/>
    </row>
    <row r="151" spans="1:34" ht="16" x14ac:dyDescent="0.2">
      <c r="A151" s="32"/>
      <c r="B151" s="32"/>
      <c r="C151" s="32"/>
      <c r="D151" s="32" t="s">
        <v>130</v>
      </c>
      <c r="E151" s="32"/>
      <c r="F151" s="32"/>
      <c r="G151" s="129"/>
      <c r="H151" s="146"/>
      <c r="I151" s="147"/>
      <c r="J151" s="147"/>
      <c r="K151" s="147"/>
      <c r="L151" s="147"/>
      <c r="M151" s="147"/>
      <c r="N151" s="147"/>
      <c r="O151" s="147"/>
      <c r="P151" s="147"/>
      <c r="Q151" s="147"/>
      <c r="R151" s="147"/>
      <c r="S151" s="257"/>
      <c r="T151" s="229">
        <f t="shared" si="95"/>
        <v>83.333333333333329</v>
      </c>
      <c r="U151" s="147">
        <f t="shared" si="82"/>
        <v>-583.33333333333326</v>
      </c>
      <c r="V151" s="147"/>
      <c r="W151" s="148">
        <f t="shared" si="96"/>
        <v>0</v>
      </c>
      <c r="X151" s="48"/>
      <c r="Y151" s="197">
        <f t="shared" si="92"/>
        <v>0</v>
      </c>
      <c r="Z151" s="48"/>
      <c r="AA151" s="178">
        <f t="shared" si="93"/>
        <v>583.33333333333326</v>
      </c>
      <c r="AB151" s="147"/>
      <c r="AC151" s="147">
        <v>1000</v>
      </c>
      <c r="AD151" s="183"/>
      <c r="AE151" s="183">
        <f t="shared" si="83"/>
        <v>1000</v>
      </c>
      <c r="AF151" s="49">
        <f t="shared" si="91"/>
        <v>-416.66666666666674</v>
      </c>
      <c r="AG151" s="50">
        <f t="shared" si="94"/>
        <v>83.333333333333329</v>
      </c>
      <c r="AH151" s="25"/>
    </row>
    <row r="152" spans="1:34" ht="16" x14ac:dyDescent="0.2">
      <c r="A152" s="32"/>
      <c r="B152" s="32"/>
      <c r="C152" s="32"/>
      <c r="D152" s="32" t="s">
        <v>131</v>
      </c>
      <c r="E152" s="32"/>
      <c r="F152" s="32"/>
      <c r="G152" s="129"/>
      <c r="H152" s="146">
        <v>500</v>
      </c>
      <c r="I152" s="147"/>
      <c r="J152" s="147"/>
      <c r="K152" s="147"/>
      <c r="L152" s="147"/>
      <c r="M152" s="147"/>
      <c r="N152" s="147"/>
      <c r="O152" s="147"/>
      <c r="P152" s="147"/>
      <c r="Q152" s="147"/>
      <c r="R152" s="147"/>
      <c r="S152" s="257"/>
      <c r="T152" s="229">
        <f t="shared" si="95"/>
        <v>166.66666666666666</v>
      </c>
      <c r="U152" s="147">
        <f t="shared" si="82"/>
        <v>-666.66666666666652</v>
      </c>
      <c r="V152" s="147"/>
      <c r="W152" s="148">
        <f t="shared" si="96"/>
        <v>500</v>
      </c>
      <c r="X152" s="48"/>
      <c r="Y152" s="197">
        <f t="shared" si="92"/>
        <v>0.25</v>
      </c>
      <c r="Z152" s="48"/>
      <c r="AA152" s="178">
        <f t="shared" si="93"/>
        <v>1166.6666666666665</v>
      </c>
      <c r="AB152" s="147"/>
      <c r="AC152" s="147">
        <v>2000</v>
      </c>
      <c r="AD152" s="183"/>
      <c r="AE152" s="183">
        <f t="shared" si="83"/>
        <v>1500</v>
      </c>
      <c r="AF152" s="49">
        <f t="shared" si="91"/>
        <v>-833.33333333333348</v>
      </c>
      <c r="AG152" s="50">
        <f t="shared" si="94"/>
        <v>166.66666666666666</v>
      </c>
      <c r="AH152" s="25"/>
    </row>
    <row r="153" spans="1:34" ht="16" x14ac:dyDescent="0.2">
      <c r="A153" s="32"/>
      <c r="B153" s="32"/>
      <c r="C153" s="32"/>
      <c r="D153" s="32" t="s">
        <v>132</v>
      </c>
      <c r="E153" s="32"/>
      <c r="F153" s="32"/>
      <c r="G153" s="129"/>
      <c r="H153" s="146">
        <v>447.18</v>
      </c>
      <c r="I153" s="147">
        <v>245.03</v>
      </c>
      <c r="J153" s="147">
        <v>412.63</v>
      </c>
      <c r="K153" s="147">
        <v>2532.7399999999998</v>
      </c>
      <c r="L153" s="147">
        <v>26.18</v>
      </c>
      <c r="M153" s="147">
        <v>104.71</v>
      </c>
      <c r="N153" s="147">
        <v>307.64</v>
      </c>
      <c r="O153" s="147"/>
      <c r="P153" s="147"/>
      <c r="Q153" s="147"/>
      <c r="R153" s="147"/>
      <c r="S153" s="257"/>
      <c r="T153" s="229">
        <f t="shared" si="95"/>
        <v>458.33333333333331</v>
      </c>
      <c r="U153" s="147">
        <f t="shared" si="82"/>
        <v>867.77666666666664</v>
      </c>
      <c r="V153" s="147"/>
      <c r="W153" s="148">
        <f t="shared" si="96"/>
        <v>4076.1099999999997</v>
      </c>
      <c r="X153" s="48"/>
      <c r="Y153" s="197">
        <f t="shared" si="92"/>
        <v>0.74111090909090904</v>
      </c>
      <c r="Z153" s="48"/>
      <c r="AA153" s="178">
        <f t="shared" si="93"/>
        <v>3208.333333333333</v>
      </c>
      <c r="AB153" s="147"/>
      <c r="AC153" s="147">
        <v>5500</v>
      </c>
      <c r="AD153" s="183"/>
      <c r="AE153" s="183">
        <f t="shared" si="83"/>
        <v>1423.8900000000003</v>
      </c>
      <c r="AF153" s="49">
        <f t="shared" si="91"/>
        <v>-2291.666666666667</v>
      </c>
      <c r="AG153" s="50">
        <f t="shared" si="94"/>
        <v>458.33333333333331</v>
      </c>
      <c r="AH153" s="25"/>
    </row>
    <row r="154" spans="1:34" ht="17" thickBot="1" x14ac:dyDescent="0.25">
      <c r="A154" s="32"/>
      <c r="B154" s="32"/>
      <c r="C154" s="32"/>
      <c r="D154" s="32" t="s">
        <v>133</v>
      </c>
      <c r="E154" s="32"/>
      <c r="F154" s="32"/>
      <c r="G154" s="129"/>
      <c r="H154" s="146">
        <v>0</v>
      </c>
      <c r="I154" s="147">
        <v>0</v>
      </c>
      <c r="J154" s="147">
        <v>0</v>
      </c>
      <c r="K154" s="147">
        <v>0</v>
      </c>
      <c r="L154" s="147">
        <v>0</v>
      </c>
      <c r="M154" s="147">
        <v>0</v>
      </c>
      <c r="N154" s="147"/>
      <c r="O154" s="147">
        <v>0</v>
      </c>
      <c r="P154" s="147"/>
      <c r="Q154" s="147"/>
      <c r="R154" s="147"/>
      <c r="S154" s="257"/>
      <c r="T154" s="229">
        <f t="shared" si="95"/>
        <v>25</v>
      </c>
      <c r="U154" s="147">
        <f t="shared" si="82"/>
        <v>-175</v>
      </c>
      <c r="V154" s="147"/>
      <c r="W154" s="148">
        <f t="shared" si="96"/>
        <v>0</v>
      </c>
      <c r="X154" s="48"/>
      <c r="Y154" s="197">
        <f t="shared" si="92"/>
        <v>0</v>
      </c>
      <c r="Z154" s="48"/>
      <c r="AA154" s="178">
        <f t="shared" si="93"/>
        <v>175</v>
      </c>
      <c r="AB154" s="147"/>
      <c r="AC154" s="147">
        <v>300</v>
      </c>
      <c r="AD154" s="183"/>
      <c r="AE154" s="183">
        <f t="shared" si="83"/>
        <v>300</v>
      </c>
      <c r="AF154" s="49">
        <f t="shared" si="91"/>
        <v>-125</v>
      </c>
      <c r="AG154" s="50">
        <f t="shared" si="94"/>
        <v>25</v>
      </c>
      <c r="AH154" s="25"/>
    </row>
    <row r="155" spans="1:34" ht="17" thickBot="1" x14ac:dyDescent="0.25">
      <c r="A155" s="32"/>
      <c r="B155" s="32"/>
      <c r="C155" s="104" t="s">
        <v>134</v>
      </c>
      <c r="D155" s="104"/>
      <c r="E155" s="104"/>
      <c r="F155" s="104"/>
      <c r="G155" s="132"/>
      <c r="H155" s="157">
        <f t="shared" ref="H155:P155" si="97">SUM(H148:H154)</f>
        <v>2197.1799999999998</v>
      </c>
      <c r="I155" s="155">
        <f t="shared" si="97"/>
        <v>20692.650000000001</v>
      </c>
      <c r="J155" s="155">
        <f t="shared" si="97"/>
        <v>19210.97</v>
      </c>
      <c r="K155" s="155">
        <f t="shared" si="97"/>
        <v>109909.95000000001</v>
      </c>
      <c r="L155" s="155">
        <f t="shared" si="97"/>
        <v>961.18</v>
      </c>
      <c r="M155" s="155">
        <f t="shared" si="97"/>
        <v>43065.659999999996</v>
      </c>
      <c r="N155" s="155">
        <f t="shared" si="97"/>
        <v>20201.8</v>
      </c>
      <c r="O155" s="155">
        <f t="shared" si="97"/>
        <v>0</v>
      </c>
      <c r="P155" s="155">
        <f t="shared" si="97"/>
        <v>0</v>
      </c>
      <c r="Q155" s="155">
        <f t="shared" ref="Q155:S155" si="98">SUM(Q148:Q154)</f>
        <v>0</v>
      </c>
      <c r="R155" s="155">
        <f t="shared" si="98"/>
        <v>0</v>
      </c>
      <c r="S155" s="262">
        <f t="shared" si="98"/>
        <v>0</v>
      </c>
      <c r="T155" s="233">
        <f t="shared" si="95"/>
        <v>9650</v>
      </c>
      <c r="U155" s="155">
        <f t="shared" si="82"/>
        <v>148689.38999999998</v>
      </c>
      <c r="V155" s="155"/>
      <c r="W155" s="156">
        <f>SUM(H155:S155)</f>
        <v>216239.38999999998</v>
      </c>
      <c r="X155" s="53"/>
      <c r="Y155" s="199">
        <f t="shared" si="92"/>
        <v>1.8673522452504316</v>
      </c>
      <c r="Z155" s="53"/>
      <c r="AA155" s="180">
        <f>SUM(AA148:AA154)</f>
        <v>67550</v>
      </c>
      <c r="AB155" s="155">
        <f>SUM(AB148:AB154)</f>
        <v>0</v>
      </c>
      <c r="AC155" s="155">
        <f>SUM(AC148:AC154)</f>
        <v>115800</v>
      </c>
      <c r="AD155" s="187"/>
      <c r="AE155" s="155">
        <f>SUM(AE148:AE154)</f>
        <v>-100439.39000000003</v>
      </c>
      <c r="AF155" s="49">
        <f t="shared" si="91"/>
        <v>-48250</v>
      </c>
      <c r="AG155" s="50"/>
      <c r="AH155" s="25"/>
    </row>
    <row r="156" spans="1:34" ht="29" customHeight="1" x14ac:dyDescent="0.2">
      <c r="A156" s="32"/>
      <c r="B156" s="32"/>
      <c r="C156" s="32" t="s">
        <v>135</v>
      </c>
      <c r="D156" s="32"/>
      <c r="E156" s="32"/>
      <c r="F156" s="32"/>
      <c r="G156" s="129"/>
      <c r="H156" s="143"/>
      <c r="I156" s="48"/>
      <c r="J156" s="48"/>
      <c r="K156" s="48"/>
      <c r="L156" s="48"/>
      <c r="M156" s="48"/>
      <c r="N156" s="48"/>
      <c r="O156" s="48"/>
      <c r="P156" s="48"/>
      <c r="Q156" s="48"/>
      <c r="R156" s="48"/>
      <c r="S156" s="261"/>
      <c r="T156" s="234" t="s">
        <v>178</v>
      </c>
      <c r="U156" s="48" t="s">
        <v>178</v>
      </c>
      <c r="V156" s="48"/>
      <c r="W156" s="48" t="s">
        <v>178</v>
      </c>
      <c r="X156" s="48"/>
      <c r="Y156" s="48"/>
      <c r="Z156" s="48"/>
      <c r="AB156" s="147"/>
      <c r="AC156" s="147"/>
      <c r="AD156" s="183"/>
      <c r="AE156" s="183"/>
      <c r="AF156" s="49">
        <f>AA157-AC156</f>
        <v>0</v>
      </c>
      <c r="AG156" s="50"/>
      <c r="AH156" s="25"/>
    </row>
    <row r="157" spans="1:34" ht="16" x14ac:dyDescent="0.2">
      <c r="A157" s="32"/>
      <c r="B157" s="32"/>
      <c r="C157" s="32"/>
      <c r="D157" s="93" t="s">
        <v>136</v>
      </c>
      <c r="E157" s="93"/>
      <c r="F157" s="93"/>
      <c r="G157" s="130"/>
      <c r="H157" s="144"/>
      <c r="I157" s="94"/>
      <c r="J157" s="94"/>
      <c r="K157" s="150"/>
      <c r="L157" s="94"/>
      <c r="M157" s="94"/>
      <c r="N157" s="94"/>
      <c r="O157" s="94"/>
      <c r="P157" s="94"/>
      <c r="Q157" s="94"/>
      <c r="R157" s="94"/>
      <c r="S157" s="266"/>
      <c r="T157" s="238" t="s">
        <v>178</v>
      </c>
      <c r="U157" s="94" t="s">
        <v>178</v>
      </c>
      <c r="V157" s="94"/>
      <c r="W157" s="94" t="s">
        <v>178</v>
      </c>
      <c r="X157" s="94"/>
      <c r="Y157" s="94"/>
      <c r="Z157" s="94"/>
      <c r="AA157" s="150"/>
      <c r="AB157" s="150"/>
      <c r="AC157" s="150"/>
      <c r="AD157" s="184"/>
      <c r="AE157" s="184"/>
      <c r="AF157" s="49"/>
      <c r="AG157" s="50"/>
      <c r="AH157" s="25"/>
    </row>
    <row r="158" spans="1:34" ht="16" x14ac:dyDescent="0.2">
      <c r="A158" s="32"/>
      <c r="B158" s="32"/>
      <c r="C158" s="32"/>
      <c r="D158" s="32"/>
      <c r="E158" s="32"/>
      <c r="F158" s="32" t="s">
        <v>137</v>
      </c>
      <c r="G158" s="129"/>
      <c r="H158" s="146">
        <v>41496.18</v>
      </c>
      <c r="I158" s="147">
        <v>29627.59</v>
      </c>
      <c r="J158" s="147">
        <v>30769.96</v>
      </c>
      <c r="K158" s="147">
        <v>48770.62</v>
      </c>
      <c r="L158" s="147">
        <v>26302.16</v>
      </c>
      <c r="M158" s="147">
        <v>29372.26</v>
      </c>
      <c r="N158" s="147">
        <v>13887.06</v>
      </c>
      <c r="O158" s="147"/>
      <c r="P158" s="147"/>
      <c r="Q158" s="147"/>
      <c r="R158" s="147"/>
      <c r="S158" s="257"/>
      <c r="T158" s="229">
        <f>AC158/12</f>
        <v>44166.666666666664</v>
      </c>
      <c r="U158" s="147">
        <f t="shared" si="82"/>
        <v>-88940.836666666612</v>
      </c>
      <c r="V158" s="147"/>
      <c r="W158" s="148">
        <f>SUM(H158:S158)</f>
        <v>220225.83000000002</v>
      </c>
      <c r="X158" s="48"/>
      <c r="Y158" s="197">
        <f t="shared" ref="Y158:Y171" si="99">W158/AC158</f>
        <v>0.41552043396226418</v>
      </c>
      <c r="Z158" s="48"/>
      <c r="AA158" s="178">
        <f>AC158/12*$AI$5</f>
        <v>309166.66666666663</v>
      </c>
      <c r="AB158" s="147"/>
      <c r="AC158" s="147">
        <v>530000</v>
      </c>
      <c r="AD158" s="183"/>
      <c r="AE158" s="183">
        <f t="shared" si="83"/>
        <v>309774.17</v>
      </c>
      <c r="AF158" s="49">
        <f t="shared" si="91"/>
        <v>-220833.33333333337</v>
      </c>
      <c r="AG158" s="50">
        <f t="shared" ref="AG158:AG191" si="100">+AC158/12</f>
        <v>44166.666666666664</v>
      </c>
      <c r="AH158" s="25"/>
    </row>
    <row r="159" spans="1:34" ht="16" x14ac:dyDescent="0.2">
      <c r="A159" s="32"/>
      <c r="B159" s="32"/>
      <c r="C159" s="32"/>
      <c r="D159" s="32"/>
      <c r="E159" s="32"/>
      <c r="F159" s="32" t="s">
        <v>207</v>
      </c>
      <c r="G159" s="129"/>
      <c r="H159" s="146">
        <v>5066.12</v>
      </c>
      <c r="I159" s="147">
        <v>3641.35</v>
      </c>
      <c r="J159" s="147">
        <v>3711.34</v>
      </c>
      <c r="K159" s="147">
        <v>5372.5</v>
      </c>
      <c r="L159" s="147">
        <v>3031.15</v>
      </c>
      <c r="M159" s="147">
        <v>3108.2</v>
      </c>
      <c r="N159" s="147">
        <v>5317.19</v>
      </c>
      <c r="O159" s="147"/>
      <c r="P159" s="147"/>
      <c r="Q159" s="147"/>
      <c r="R159" s="147"/>
      <c r="S159" s="257"/>
      <c r="T159" s="229">
        <f t="shared" ref="T159:T169" si="101">AC159/12</f>
        <v>5825</v>
      </c>
      <c r="U159" s="147">
        <f>W159-AA159</f>
        <v>-11527.150000000001</v>
      </c>
      <c r="V159" s="147"/>
      <c r="W159" s="148">
        <f t="shared" ref="W159:W169" si="102">SUM(H159:S159)</f>
        <v>29247.85</v>
      </c>
      <c r="X159" s="48"/>
      <c r="Y159" s="197">
        <f>W159/AC159</f>
        <v>0.41842417739628041</v>
      </c>
      <c r="Z159" s="48"/>
      <c r="AA159" s="178">
        <f>AC159/12*$AI$5</f>
        <v>40775</v>
      </c>
      <c r="AB159" s="147"/>
      <c r="AC159" s="147">
        <v>69900</v>
      </c>
      <c r="AD159" s="183"/>
      <c r="AE159" s="183">
        <f>AC159-W159</f>
        <v>40652.15</v>
      </c>
      <c r="AF159" s="49">
        <f>AA159-AC159</f>
        <v>-29125</v>
      </c>
      <c r="AG159" s="50">
        <f>+AC159/12</f>
        <v>5825</v>
      </c>
      <c r="AH159" s="25"/>
    </row>
    <row r="160" spans="1:34" ht="16" x14ac:dyDescent="0.2">
      <c r="A160" s="32"/>
      <c r="B160" s="32"/>
      <c r="C160" s="32"/>
      <c r="D160" s="105" t="s">
        <v>138</v>
      </c>
      <c r="E160" s="105"/>
      <c r="F160" s="105"/>
      <c r="G160" s="131"/>
      <c r="H160" s="151">
        <f t="shared" ref="H160:S160" si="103">SUM(H158:H159)</f>
        <v>46562.3</v>
      </c>
      <c r="I160" s="152">
        <f t="shared" si="103"/>
        <v>33268.94</v>
      </c>
      <c r="J160" s="152">
        <f t="shared" si="103"/>
        <v>34481.300000000003</v>
      </c>
      <c r="K160" s="152">
        <f>SUM(K157:K159)</f>
        <v>54143.12</v>
      </c>
      <c r="L160" s="152">
        <f t="shared" si="103"/>
        <v>29333.31</v>
      </c>
      <c r="M160" s="152">
        <f t="shared" si="103"/>
        <v>32480.46</v>
      </c>
      <c r="N160" s="152">
        <f t="shared" si="103"/>
        <v>19204.25</v>
      </c>
      <c r="O160" s="152">
        <f t="shared" si="103"/>
        <v>0</v>
      </c>
      <c r="P160" s="152">
        <f t="shared" si="103"/>
        <v>0</v>
      </c>
      <c r="Q160" s="152">
        <f t="shared" si="103"/>
        <v>0</v>
      </c>
      <c r="R160" s="152">
        <f t="shared" si="103"/>
        <v>0</v>
      </c>
      <c r="S160" s="259">
        <f t="shared" si="103"/>
        <v>0</v>
      </c>
      <c r="T160" s="231">
        <f t="shared" si="101"/>
        <v>49991.666666666664</v>
      </c>
      <c r="U160" s="152">
        <f>W160-AA160</f>
        <v>-100467.98666666663</v>
      </c>
      <c r="V160" s="152"/>
      <c r="W160" s="152">
        <f t="shared" si="102"/>
        <v>249473.68</v>
      </c>
      <c r="X160" s="103"/>
      <c r="Y160" s="200">
        <f t="shared" si="99"/>
        <v>0.41585877646274377</v>
      </c>
      <c r="Z160" s="103"/>
      <c r="AA160" s="152">
        <f>SUM(AA158:AA159)</f>
        <v>349941.66666666663</v>
      </c>
      <c r="AB160" s="152">
        <f>SUM(AB158:AB159)</f>
        <v>0</v>
      </c>
      <c r="AC160" s="152">
        <f>SUM(AC158:AC159)</f>
        <v>599900</v>
      </c>
      <c r="AD160" s="152"/>
      <c r="AE160" s="152">
        <f>SUM(AE158:AE159)</f>
        <v>350426.32</v>
      </c>
      <c r="AF160" s="49">
        <f t="shared" si="91"/>
        <v>-249958.33333333337</v>
      </c>
      <c r="AG160" s="50"/>
      <c r="AH160" s="25"/>
    </row>
    <row r="161" spans="1:34" ht="29" customHeight="1" x14ac:dyDescent="0.2">
      <c r="A161" s="32"/>
      <c r="B161" s="32"/>
      <c r="C161" s="32"/>
      <c r="D161" s="32" t="s">
        <v>139</v>
      </c>
      <c r="E161" s="32"/>
      <c r="F161" s="32"/>
      <c r="G161" s="129"/>
      <c r="H161" s="146">
        <v>4560.16</v>
      </c>
      <c r="I161" s="147">
        <v>3678.72</v>
      </c>
      <c r="J161" s="147">
        <v>3265.99</v>
      </c>
      <c r="K161" s="147">
        <v>3717.53</v>
      </c>
      <c r="L161" s="147">
        <v>4485.55</v>
      </c>
      <c r="M161" s="147">
        <v>864.69</v>
      </c>
      <c r="N161" s="147">
        <v>864.69</v>
      </c>
      <c r="O161" s="147"/>
      <c r="P161" s="147"/>
      <c r="Q161" s="147"/>
      <c r="R161" s="147"/>
      <c r="S161" s="257"/>
      <c r="T161" s="229">
        <f t="shared" si="101"/>
        <v>5500</v>
      </c>
      <c r="U161" s="147">
        <f t="shared" si="82"/>
        <v>-17062.670000000002</v>
      </c>
      <c r="V161" s="147"/>
      <c r="W161" s="148">
        <f t="shared" si="102"/>
        <v>21437.329999999998</v>
      </c>
      <c r="X161" s="48"/>
      <c r="Y161" s="197">
        <f t="shared" si="99"/>
        <v>0.32480803030303029</v>
      </c>
      <c r="Z161" s="48"/>
      <c r="AA161" s="178">
        <f t="shared" ref="AA161:AA169" si="104">AC161/12*$AI$5</f>
        <v>38500</v>
      </c>
      <c r="AB161" s="147"/>
      <c r="AC161" s="147">
        <v>66000</v>
      </c>
      <c r="AD161" s="183"/>
      <c r="AE161" s="183">
        <f t="shared" si="83"/>
        <v>44562.67</v>
      </c>
      <c r="AF161" s="49">
        <f t="shared" si="91"/>
        <v>-27500</v>
      </c>
      <c r="AG161" s="50">
        <f t="shared" si="100"/>
        <v>5500</v>
      </c>
      <c r="AH161" s="25"/>
    </row>
    <row r="162" spans="1:34" ht="16" x14ac:dyDescent="0.2">
      <c r="A162" s="32"/>
      <c r="B162" s="32"/>
      <c r="C162" s="32"/>
      <c r="D162" s="32" t="s">
        <v>140</v>
      </c>
      <c r="E162" s="32"/>
      <c r="F162" s="32"/>
      <c r="G162" s="129"/>
      <c r="H162" s="146">
        <v>310.37</v>
      </c>
      <c r="I162" s="147">
        <v>310.37</v>
      </c>
      <c r="J162" s="147">
        <v>310.37</v>
      </c>
      <c r="K162" s="147">
        <v>310.37</v>
      </c>
      <c r="L162" s="147">
        <v>310.37</v>
      </c>
      <c r="M162" s="147">
        <v>310.37</v>
      </c>
      <c r="N162" s="147">
        <v>310.37</v>
      </c>
      <c r="O162" s="147"/>
      <c r="P162" s="147"/>
      <c r="Q162" s="147"/>
      <c r="R162" s="147"/>
      <c r="S162" s="257"/>
      <c r="T162" s="229">
        <f t="shared" si="101"/>
        <v>208.33333333333334</v>
      </c>
      <c r="U162" s="147">
        <f t="shared" si="82"/>
        <v>714.25666666666621</v>
      </c>
      <c r="V162" s="147"/>
      <c r="W162" s="148">
        <f t="shared" si="102"/>
        <v>2172.5899999999997</v>
      </c>
      <c r="X162" s="48"/>
      <c r="Y162" s="197">
        <f t="shared" si="99"/>
        <v>0.86903599999999992</v>
      </c>
      <c r="Z162" s="48"/>
      <c r="AA162" s="178">
        <f t="shared" si="104"/>
        <v>1458.3333333333335</v>
      </c>
      <c r="AB162" s="147"/>
      <c r="AC162" s="147">
        <v>2500</v>
      </c>
      <c r="AD162" s="183"/>
      <c r="AE162" s="183">
        <f t="shared" si="83"/>
        <v>327.41000000000031</v>
      </c>
      <c r="AF162" s="49">
        <f t="shared" si="91"/>
        <v>-1041.6666666666665</v>
      </c>
      <c r="AG162" s="50">
        <f t="shared" si="100"/>
        <v>208.33333333333334</v>
      </c>
      <c r="AH162" s="25"/>
    </row>
    <row r="163" spans="1:34" ht="16" x14ac:dyDescent="0.2">
      <c r="A163" s="32"/>
      <c r="B163" s="32"/>
      <c r="C163" s="32"/>
      <c r="D163" s="32" t="s">
        <v>141</v>
      </c>
      <c r="E163" s="32"/>
      <c r="F163" s="32"/>
      <c r="G163" s="129"/>
      <c r="H163" s="146">
        <v>756.75</v>
      </c>
      <c r="I163" s="147">
        <v>756.75</v>
      </c>
      <c r="J163" s="147">
        <v>756.75</v>
      </c>
      <c r="K163" s="147">
        <v>756.75</v>
      </c>
      <c r="L163" s="147">
        <v>756.75</v>
      </c>
      <c r="M163" s="147">
        <v>756.75</v>
      </c>
      <c r="N163" s="147">
        <v>756.75</v>
      </c>
      <c r="O163" s="147"/>
      <c r="P163" s="147"/>
      <c r="Q163" s="147"/>
      <c r="R163" s="147"/>
      <c r="S163" s="257"/>
      <c r="T163" s="229">
        <f t="shared" si="101"/>
        <v>833.33333333333337</v>
      </c>
      <c r="U163" s="147">
        <f t="shared" si="82"/>
        <v>-536.08333333333394</v>
      </c>
      <c r="V163" s="147"/>
      <c r="W163" s="148">
        <f t="shared" si="102"/>
        <v>5297.25</v>
      </c>
      <c r="X163" s="48"/>
      <c r="Y163" s="197">
        <f t="shared" si="99"/>
        <v>0.529725</v>
      </c>
      <c r="Z163" s="48"/>
      <c r="AA163" s="178">
        <f t="shared" si="104"/>
        <v>5833.3333333333339</v>
      </c>
      <c r="AB163" s="147"/>
      <c r="AC163" s="147">
        <v>10000</v>
      </c>
      <c r="AD163" s="183"/>
      <c r="AE163" s="183">
        <f t="shared" si="83"/>
        <v>4702.75</v>
      </c>
      <c r="AF163" s="49">
        <f t="shared" si="91"/>
        <v>-4166.6666666666661</v>
      </c>
      <c r="AG163" s="50">
        <f t="shared" si="100"/>
        <v>833.33333333333337</v>
      </c>
      <c r="AH163" s="25"/>
    </row>
    <row r="164" spans="1:34" ht="16" x14ac:dyDescent="0.2">
      <c r="A164" s="32"/>
      <c r="B164" s="32"/>
      <c r="C164" s="32"/>
      <c r="D164" s="32" t="s">
        <v>142</v>
      </c>
      <c r="E164" s="32"/>
      <c r="F164" s="32"/>
      <c r="G164" s="129"/>
      <c r="H164" s="146"/>
      <c r="I164" s="147"/>
      <c r="J164" s="147"/>
      <c r="K164" s="147"/>
      <c r="L164" s="147"/>
      <c r="M164" s="147"/>
      <c r="N164" s="147"/>
      <c r="O164" s="147"/>
      <c r="P164" s="147"/>
      <c r="Q164" s="147"/>
      <c r="R164" s="147"/>
      <c r="S164" s="257"/>
      <c r="T164" s="229">
        <f t="shared" si="101"/>
        <v>83.333333333333329</v>
      </c>
      <c r="U164" s="147">
        <f t="shared" si="82"/>
        <v>-583.33333333333326</v>
      </c>
      <c r="V164" s="147"/>
      <c r="W164" s="148">
        <f t="shared" si="102"/>
        <v>0</v>
      </c>
      <c r="X164" s="48"/>
      <c r="Y164" s="197">
        <f t="shared" si="99"/>
        <v>0</v>
      </c>
      <c r="Z164" s="48"/>
      <c r="AA164" s="178">
        <f t="shared" si="104"/>
        <v>583.33333333333326</v>
      </c>
      <c r="AB164" s="147"/>
      <c r="AC164" s="147">
        <v>1000</v>
      </c>
      <c r="AD164" s="183"/>
      <c r="AE164" s="183">
        <f t="shared" si="83"/>
        <v>1000</v>
      </c>
      <c r="AF164" s="49">
        <f t="shared" si="91"/>
        <v>-416.66666666666674</v>
      </c>
      <c r="AG164" s="50">
        <f t="shared" si="100"/>
        <v>83.333333333333329</v>
      </c>
      <c r="AH164" s="25"/>
    </row>
    <row r="165" spans="1:34" ht="15" customHeight="1" x14ac:dyDescent="0.2">
      <c r="A165" s="32"/>
      <c r="B165" s="32"/>
      <c r="C165" s="32"/>
      <c r="D165" s="32" t="s">
        <v>143</v>
      </c>
      <c r="E165" s="32"/>
      <c r="F165" s="32"/>
      <c r="G165" s="129"/>
      <c r="H165" s="146"/>
      <c r="I165" s="147"/>
      <c r="J165" s="147"/>
      <c r="K165" s="147"/>
      <c r="L165" s="147"/>
      <c r="M165" s="147"/>
      <c r="N165" s="147"/>
      <c r="O165" s="147"/>
      <c r="P165" s="147"/>
      <c r="Q165" s="147"/>
      <c r="R165" s="147"/>
      <c r="S165" s="257"/>
      <c r="T165" s="229">
        <f t="shared" si="101"/>
        <v>25</v>
      </c>
      <c r="U165" s="147">
        <f t="shared" si="82"/>
        <v>-175</v>
      </c>
      <c r="V165" s="147"/>
      <c r="W165" s="148">
        <f t="shared" si="102"/>
        <v>0</v>
      </c>
      <c r="X165" s="48"/>
      <c r="Y165" s="197">
        <f t="shared" si="99"/>
        <v>0</v>
      </c>
      <c r="Z165" s="48"/>
      <c r="AA165" s="178">
        <f t="shared" si="104"/>
        <v>175</v>
      </c>
      <c r="AB165" s="147"/>
      <c r="AC165" s="147">
        <v>300</v>
      </c>
      <c r="AD165" s="183"/>
      <c r="AE165" s="183">
        <f t="shared" si="83"/>
        <v>300</v>
      </c>
      <c r="AF165" s="49">
        <f t="shared" si="91"/>
        <v>-125</v>
      </c>
      <c r="AG165" s="50">
        <f t="shared" si="100"/>
        <v>25</v>
      </c>
      <c r="AH165" s="25"/>
    </row>
    <row r="166" spans="1:34" ht="16" x14ac:dyDescent="0.2">
      <c r="A166" s="32"/>
      <c r="B166" s="32"/>
      <c r="C166" s="32"/>
      <c r="D166" s="32" t="s">
        <v>185</v>
      </c>
      <c r="E166" s="32"/>
      <c r="F166" s="32"/>
      <c r="G166" s="129"/>
      <c r="H166" s="146"/>
      <c r="I166" s="147"/>
      <c r="J166" s="147"/>
      <c r="K166" s="147"/>
      <c r="L166" s="147"/>
      <c r="M166" s="147">
        <v>122.26</v>
      </c>
      <c r="N166" s="147"/>
      <c r="O166" s="147"/>
      <c r="P166" s="147"/>
      <c r="Q166" s="147"/>
      <c r="R166" s="147"/>
      <c r="S166" s="257"/>
      <c r="T166" s="229">
        <f t="shared" si="101"/>
        <v>500</v>
      </c>
      <c r="U166" s="147">
        <f t="shared" si="82"/>
        <v>-3377.74</v>
      </c>
      <c r="V166" s="147"/>
      <c r="W166" s="148">
        <f t="shared" si="102"/>
        <v>122.26</v>
      </c>
      <c r="X166" s="48"/>
      <c r="Y166" s="197">
        <f t="shared" si="99"/>
        <v>2.0376666666666668E-2</v>
      </c>
      <c r="Z166" s="48"/>
      <c r="AA166" s="178">
        <f t="shared" si="104"/>
        <v>3500</v>
      </c>
      <c r="AB166" s="147"/>
      <c r="AC166" s="147">
        <v>6000</v>
      </c>
      <c r="AD166" s="183"/>
      <c r="AE166" s="183">
        <f t="shared" si="83"/>
        <v>5877.74</v>
      </c>
      <c r="AF166" s="49"/>
      <c r="AG166" s="50"/>
      <c r="AH166" s="25"/>
    </row>
    <row r="167" spans="1:34" ht="16" x14ac:dyDescent="0.2">
      <c r="A167" s="32"/>
      <c r="B167" s="32"/>
      <c r="C167" s="32"/>
      <c r="D167" s="32" t="s">
        <v>144</v>
      </c>
      <c r="E167" s="32"/>
      <c r="F167" s="32"/>
      <c r="G167" s="129"/>
      <c r="H167" s="146">
        <v>625.1</v>
      </c>
      <c r="I167" s="147">
        <v>587.4</v>
      </c>
      <c r="J167" s="147">
        <v>576.92999999999995</v>
      </c>
      <c r="K167" s="147">
        <v>621.96</v>
      </c>
      <c r="L167" s="147">
        <v>603.11</v>
      </c>
      <c r="M167" s="147">
        <v>673.26</v>
      </c>
      <c r="N167" s="147">
        <v>231.38</v>
      </c>
      <c r="O167" s="147"/>
      <c r="P167" s="147"/>
      <c r="Q167" s="147"/>
      <c r="R167" s="147"/>
      <c r="S167" s="257"/>
      <c r="T167" s="229">
        <f t="shared" si="101"/>
        <v>416.66666666666669</v>
      </c>
      <c r="U167" s="147">
        <f t="shared" si="82"/>
        <v>1002.4733333333334</v>
      </c>
      <c r="V167" s="147"/>
      <c r="W167" s="148">
        <f t="shared" si="102"/>
        <v>3919.1400000000003</v>
      </c>
      <c r="X167" s="48"/>
      <c r="Y167" s="197">
        <f t="shared" si="99"/>
        <v>0.78382800000000008</v>
      </c>
      <c r="Z167" s="48"/>
      <c r="AA167" s="178">
        <f t="shared" si="104"/>
        <v>2916.666666666667</v>
      </c>
      <c r="AB167" s="147"/>
      <c r="AC167" s="147">
        <v>5000</v>
      </c>
      <c r="AD167" s="183"/>
      <c r="AE167" s="183">
        <f t="shared" si="83"/>
        <v>1080.8599999999997</v>
      </c>
      <c r="AF167" s="49">
        <f t="shared" si="91"/>
        <v>-2083.333333333333</v>
      </c>
      <c r="AG167" s="50">
        <f t="shared" si="100"/>
        <v>416.66666666666669</v>
      </c>
      <c r="AH167" s="25"/>
    </row>
    <row r="168" spans="1:34" ht="16" x14ac:dyDescent="0.2">
      <c r="A168" s="32"/>
      <c r="B168" s="32"/>
      <c r="C168" s="32"/>
      <c r="D168" s="32" t="s">
        <v>145</v>
      </c>
      <c r="E168" s="32"/>
      <c r="F168" s="32"/>
      <c r="G168" s="129"/>
      <c r="H168" s="146">
        <v>82.42</v>
      </c>
      <c r="I168" s="147"/>
      <c r="J168" s="147"/>
      <c r="K168" s="147">
        <v>706.52</v>
      </c>
      <c r="L168" s="147">
        <v>407</v>
      </c>
      <c r="M168" s="147">
        <v>936.08</v>
      </c>
      <c r="N168" s="147">
        <v>381.36</v>
      </c>
      <c r="O168" s="147"/>
      <c r="P168" s="147"/>
      <c r="Q168" s="147"/>
      <c r="R168" s="147"/>
      <c r="S168" s="257"/>
      <c r="T168" s="229">
        <f t="shared" si="101"/>
        <v>166.66666666666666</v>
      </c>
      <c r="U168" s="147">
        <f t="shared" si="82"/>
        <v>1346.7133333333336</v>
      </c>
      <c r="V168" s="147"/>
      <c r="W168" s="148">
        <f t="shared" si="102"/>
        <v>2513.38</v>
      </c>
      <c r="X168" s="48"/>
      <c r="Y168" s="197">
        <f t="shared" si="99"/>
        <v>1.2566900000000001</v>
      </c>
      <c r="Z168" s="48"/>
      <c r="AA168" s="178">
        <f t="shared" si="104"/>
        <v>1166.6666666666665</v>
      </c>
      <c r="AB168" s="147"/>
      <c r="AC168" s="147">
        <v>2000</v>
      </c>
      <c r="AD168" s="183"/>
      <c r="AE168" s="183">
        <f t="shared" si="83"/>
        <v>-513.38000000000011</v>
      </c>
      <c r="AF168" s="49">
        <f t="shared" si="91"/>
        <v>-833.33333333333348</v>
      </c>
      <c r="AG168" s="50">
        <f t="shared" si="100"/>
        <v>166.66666666666666</v>
      </c>
      <c r="AH168" s="25"/>
    </row>
    <row r="169" spans="1:34" ht="17" thickBot="1" x14ac:dyDescent="0.25">
      <c r="A169" s="32"/>
      <c r="B169" s="32"/>
      <c r="C169" s="32"/>
      <c r="D169" s="32" t="s">
        <v>146</v>
      </c>
      <c r="E169" s="32"/>
      <c r="F169" s="32"/>
      <c r="G169" s="129"/>
      <c r="H169" s="146"/>
      <c r="I169" s="147"/>
      <c r="J169" s="147"/>
      <c r="K169" s="147"/>
      <c r="L169" s="147"/>
      <c r="M169" s="147"/>
      <c r="N169" s="147"/>
      <c r="O169" s="147"/>
      <c r="P169" s="147"/>
      <c r="Q169" s="147"/>
      <c r="R169" s="147"/>
      <c r="S169" s="257"/>
      <c r="T169" s="229">
        <f t="shared" si="101"/>
        <v>16.666666666666668</v>
      </c>
      <c r="U169" s="147">
        <f t="shared" si="82"/>
        <v>-116.66666666666667</v>
      </c>
      <c r="V169" s="147"/>
      <c r="W169" s="148">
        <f t="shared" si="102"/>
        <v>0</v>
      </c>
      <c r="X169" s="48"/>
      <c r="Y169" s="197">
        <f t="shared" si="99"/>
        <v>0</v>
      </c>
      <c r="Z169" s="48"/>
      <c r="AA169" s="178">
        <f t="shared" si="104"/>
        <v>116.66666666666667</v>
      </c>
      <c r="AB169" s="147"/>
      <c r="AC169" s="147">
        <v>200</v>
      </c>
      <c r="AD169" s="183"/>
      <c r="AE169" s="183">
        <f t="shared" si="83"/>
        <v>200</v>
      </c>
      <c r="AF169" s="49">
        <f>AA169-AC169</f>
        <v>-83.333333333333329</v>
      </c>
      <c r="AG169" s="50">
        <f>+AC169/12</f>
        <v>16.666666666666668</v>
      </c>
      <c r="AH169" s="25"/>
    </row>
    <row r="170" spans="1:34" ht="17" thickBot="1" x14ac:dyDescent="0.25">
      <c r="A170" s="32"/>
      <c r="B170" s="32"/>
      <c r="C170" s="115" t="s">
        <v>147</v>
      </c>
      <c r="D170" s="115"/>
      <c r="E170" s="115"/>
      <c r="F170" s="115"/>
      <c r="G170" s="128"/>
      <c r="H170" s="224">
        <f>SUM(H161:H169)+H160</f>
        <v>52897.100000000006</v>
      </c>
      <c r="I170" s="225">
        <f t="shared" ref="I170:S170" si="105">SUM(I161:I169)+I160</f>
        <v>38602.18</v>
      </c>
      <c r="J170" s="225">
        <f t="shared" si="105"/>
        <v>39391.340000000004</v>
      </c>
      <c r="K170" s="225">
        <f t="shared" si="105"/>
        <v>60256.25</v>
      </c>
      <c r="L170" s="225">
        <f t="shared" si="105"/>
        <v>35896.090000000004</v>
      </c>
      <c r="M170" s="170">
        <f t="shared" si="105"/>
        <v>36143.869999999995</v>
      </c>
      <c r="N170" s="170">
        <f>SUM(N161:N169)+N160</f>
        <v>21748.799999999999</v>
      </c>
      <c r="O170" s="170">
        <f t="shared" si="105"/>
        <v>0</v>
      </c>
      <c r="P170" s="170">
        <f t="shared" si="105"/>
        <v>0</v>
      </c>
      <c r="Q170" s="170">
        <f t="shared" si="105"/>
        <v>0</v>
      </c>
      <c r="R170" s="170">
        <f t="shared" si="105"/>
        <v>0</v>
      </c>
      <c r="S170" s="270">
        <f t="shared" si="105"/>
        <v>0</v>
      </c>
      <c r="T170" s="241">
        <f>AC170/12</f>
        <v>57741.666666666664</v>
      </c>
      <c r="U170" s="170">
        <f t="shared" si="82"/>
        <v>-119256.03666666668</v>
      </c>
      <c r="V170" s="170"/>
      <c r="W170" s="171">
        <f>SUM(H170:S170)</f>
        <v>284935.62999999995</v>
      </c>
      <c r="X170" s="61"/>
      <c r="Y170" s="207">
        <f t="shared" si="99"/>
        <v>0.41122186462693022</v>
      </c>
      <c r="Z170" s="61"/>
      <c r="AA170" s="189">
        <f>AA157+SUM(AA160:AA169)</f>
        <v>404191.66666666663</v>
      </c>
      <c r="AB170" s="170">
        <f>AB156+SUM(AB160:AB169)</f>
        <v>0</v>
      </c>
      <c r="AC170" s="170">
        <f>SUM(AC160:AC169)</f>
        <v>692900</v>
      </c>
      <c r="AD170" s="190"/>
      <c r="AE170" s="170">
        <f>AE156+SUM(AE160:AE169)</f>
        <v>407964.36999999994</v>
      </c>
      <c r="AF170" s="49">
        <f t="shared" si="91"/>
        <v>-288708.33333333337</v>
      </c>
      <c r="AG170" s="50"/>
      <c r="AH170" s="25"/>
    </row>
    <row r="171" spans="1:34" ht="29" customHeight="1" thickTop="1" thickBot="1" x14ac:dyDescent="0.25">
      <c r="A171" s="32"/>
      <c r="B171" s="109" t="s">
        <v>148</v>
      </c>
      <c r="C171" s="109"/>
      <c r="D171" s="109"/>
      <c r="E171" s="109"/>
      <c r="F171" s="109"/>
      <c r="G171" s="140"/>
      <c r="H171" s="172">
        <f t="shared" ref="H171:T171" si="106">H71+H111+H137+H77+H87+H102+H146+H155+H170</f>
        <v>230278.44</v>
      </c>
      <c r="I171" s="173">
        <f t="shared" si="106"/>
        <v>240945.68999999997</v>
      </c>
      <c r="J171" s="173">
        <f t="shared" si="106"/>
        <v>209433.12</v>
      </c>
      <c r="K171" s="173">
        <f t="shared" si="106"/>
        <v>339625.65</v>
      </c>
      <c r="L171" s="173">
        <f t="shared" si="106"/>
        <v>162347.09</v>
      </c>
      <c r="M171" s="173">
        <f t="shared" si="106"/>
        <v>265957.99</v>
      </c>
      <c r="N171" s="173">
        <f t="shared" si="106"/>
        <v>174003.99</v>
      </c>
      <c r="O171" s="172">
        <f t="shared" si="106"/>
        <v>0</v>
      </c>
      <c r="P171" s="172">
        <f t="shared" si="106"/>
        <v>0</v>
      </c>
      <c r="Q171" s="172">
        <f t="shared" si="106"/>
        <v>0</v>
      </c>
      <c r="R171" s="172">
        <f t="shared" si="106"/>
        <v>0</v>
      </c>
      <c r="S171" s="271">
        <f t="shared" si="106"/>
        <v>0</v>
      </c>
      <c r="T171" s="242">
        <f t="shared" si="106"/>
        <v>169186.25</v>
      </c>
      <c r="U171" s="173">
        <f t="shared" ref="U171" si="107">AD171/12</f>
        <v>0</v>
      </c>
      <c r="V171" s="173"/>
      <c r="W171" s="174">
        <f>SUM(H171:S171)</f>
        <v>1622591.97</v>
      </c>
      <c r="X171" s="96"/>
      <c r="Y171" s="208">
        <f t="shared" si="99"/>
        <v>0.79921386933039773</v>
      </c>
      <c r="Z171" s="96"/>
      <c r="AA171" s="191">
        <f>SUM(AA50+AA71+AA77+AA87+AA102+AA111+AA137+AA146+AA155+AA170)</f>
        <v>1184303.75</v>
      </c>
      <c r="AB171" s="173">
        <f>SUM(AB50+AB71+AB77+AB87+AB102+AB111+AB137+AB146+AB155+AB170)</f>
        <v>0</v>
      </c>
      <c r="AC171" s="173">
        <f>AC71+AC77+AC87+AC102+AC111+AC137+AC146+AC155+AC170</f>
        <v>2030235</v>
      </c>
      <c r="AD171" s="173">
        <f>SUM(AD50+AD71+AD77+AD87+AD102+AD111+AD137+AD146+AD155+AD170)</f>
        <v>0</v>
      </c>
      <c r="AE171" s="173">
        <f>SUM(AE50+AE71+AE77+AE87+AE102+AE111+AE137+AE146+AE155+AE170)</f>
        <v>929930.23999999976</v>
      </c>
      <c r="AF171" s="49">
        <f t="shared" si="91"/>
        <v>-845931.25</v>
      </c>
      <c r="AG171" s="50"/>
      <c r="AH171" s="25"/>
    </row>
    <row r="172" spans="1:34" ht="29" customHeight="1" thickTop="1" x14ac:dyDescent="0.2">
      <c r="A172" s="32"/>
      <c r="B172" s="32" t="s">
        <v>149</v>
      </c>
      <c r="C172" s="32"/>
      <c r="D172" s="32"/>
      <c r="E172" s="32"/>
      <c r="F172" s="32"/>
      <c r="G172" s="129"/>
      <c r="H172" s="143"/>
      <c r="I172" s="48"/>
      <c r="J172" s="48"/>
      <c r="K172" s="48"/>
      <c r="L172" s="48"/>
      <c r="M172" s="48"/>
      <c r="N172" s="48"/>
      <c r="O172" s="48"/>
      <c r="P172" s="48"/>
      <c r="Q172" s="48"/>
      <c r="R172" s="48"/>
      <c r="S172" s="261"/>
      <c r="T172" s="234" t="s">
        <v>178</v>
      </c>
      <c r="U172" s="48" t="s">
        <v>178</v>
      </c>
      <c r="V172" s="48"/>
      <c r="W172" s="48" t="s">
        <v>178</v>
      </c>
      <c r="X172" s="48"/>
      <c r="Y172" s="48"/>
      <c r="Z172" s="48"/>
      <c r="AA172" s="147"/>
      <c r="AB172" s="147"/>
      <c r="AC172" s="147"/>
      <c r="AD172" s="183"/>
      <c r="AE172" s="183"/>
      <c r="AF172" s="49">
        <f t="shared" si="91"/>
        <v>0</v>
      </c>
      <c r="AG172" s="50"/>
      <c r="AH172" s="25"/>
    </row>
    <row r="173" spans="1:34" ht="29" customHeight="1" x14ac:dyDescent="0.2">
      <c r="A173" s="32"/>
      <c r="B173" s="32"/>
      <c r="C173" s="32" t="s">
        <v>150</v>
      </c>
      <c r="D173" s="32"/>
      <c r="E173" s="32"/>
      <c r="F173" s="32"/>
      <c r="G173" s="129"/>
      <c r="H173" s="143"/>
      <c r="I173" s="48"/>
      <c r="J173" s="48"/>
      <c r="K173" s="48"/>
      <c r="L173" s="48"/>
      <c r="M173" s="48"/>
      <c r="N173" s="48"/>
      <c r="O173" s="48"/>
      <c r="P173" s="48"/>
      <c r="Q173" s="48"/>
      <c r="R173" s="48"/>
      <c r="S173" s="261"/>
      <c r="T173" s="234"/>
      <c r="U173" s="48"/>
      <c r="V173" s="48"/>
      <c r="W173" s="48"/>
      <c r="X173" s="48"/>
      <c r="Y173" s="48"/>
      <c r="Z173" s="48"/>
      <c r="AA173" s="147"/>
      <c r="AB173" s="147"/>
      <c r="AC173" s="147"/>
      <c r="AD173" s="183"/>
      <c r="AE173" s="183"/>
      <c r="AF173" s="49">
        <f t="shared" si="91"/>
        <v>0</v>
      </c>
      <c r="AG173" s="50">
        <f t="shared" si="100"/>
        <v>0</v>
      </c>
      <c r="AH173" s="25"/>
    </row>
    <row r="174" spans="1:34" ht="16" x14ac:dyDescent="0.2">
      <c r="A174" s="32"/>
      <c r="B174" s="32"/>
      <c r="C174" s="32"/>
      <c r="D174" s="32" t="s">
        <v>151</v>
      </c>
      <c r="E174" s="32"/>
      <c r="F174" s="32"/>
      <c r="G174" s="129"/>
      <c r="H174" s="146">
        <v>311.69</v>
      </c>
      <c r="I174" s="147">
        <v>517.26</v>
      </c>
      <c r="J174" s="147"/>
      <c r="K174" s="147">
        <v>289.29000000000002</v>
      </c>
      <c r="L174" s="147">
        <v>218.12</v>
      </c>
      <c r="M174" s="147">
        <v>254.81</v>
      </c>
      <c r="N174" s="147">
        <v>211.81</v>
      </c>
      <c r="O174" s="147"/>
      <c r="P174" s="147"/>
      <c r="Q174" s="147"/>
      <c r="R174" s="147"/>
      <c r="S174" s="257"/>
      <c r="T174" s="229">
        <f t="shared" ref="T174:T185" si="108">AC174/12</f>
        <v>250</v>
      </c>
      <c r="U174" s="147">
        <f t="shared" si="82"/>
        <v>52.980000000000018</v>
      </c>
      <c r="V174" s="147"/>
      <c r="W174" s="148">
        <f t="shared" ref="W174:W188" si="109">SUM(H174:S174)</f>
        <v>1802.98</v>
      </c>
      <c r="X174" s="48"/>
      <c r="Y174" s="197">
        <f t="shared" ref="Y174:Y185" si="110">W174/AC174</f>
        <v>0.60099333333333338</v>
      </c>
      <c r="Z174" s="48"/>
      <c r="AA174" s="178">
        <f t="shared" ref="AA174:AA191" si="111">AC174/12*$AI$5</f>
        <v>1750</v>
      </c>
      <c r="AB174" s="147"/>
      <c r="AC174" s="147">
        <v>3000</v>
      </c>
      <c r="AD174" s="183"/>
      <c r="AE174" s="183">
        <f t="shared" si="83"/>
        <v>1197.02</v>
      </c>
      <c r="AF174" s="49">
        <f>AA174-AC174</f>
        <v>-1250</v>
      </c>
      <c r="AG174" s="50">
        <f t="shared" si="100"/>
        <v>250</v>
      </c>
      <c r="AH174" s="25"/>
    </row>
    <row r="175" spans="1:34" ht="16" x14ac:dyDescent="0.2">
      <c r="A175" s="32"/>
      <c r="B175" s="32"/>
      <c r="C175" s="32"/>
      <c r="D175" s="32" t="s">
        <v>152</v>
      </c>
      <c r="E175" s="32"/>
      <c r="F175" s="32"/>
      <c r="G175" s="129"/>
      <c r="H175" s="146">
        <v>157.06</v>
      </c>
      <c r="I175" s="147"/>
      <c r="J175" s="147"/>
      <c r="K175" s="147"/>
      <c r="L175" s="147"/>
      <c r="M175" s="147"/>
      <c r="N175" s="147"/>
      <c r="O175" s="147"/>
      <c r="P175" s="147"/>
      <c r="Q175" s="147"/>
      <c r="R175" s="147"/>
      <c r="S175" s="257"/>
      <c r="T175" s="229">
        <f t="shared" si="108"/>
        <v>125</v>
      </c>
      <c r="U175" s="147">
        <f t="shared" si="82"/>
        <v>-717.94</v>
      </c>
      <c r="V175" s="147"/>
      <c r="W175" s="148">
        <f t="shared" si="109"/>
        <v>157.06</v>
      </c>
      <c r="X175" s="48"/>
      <c r="Y175" s="197">
        <f t="shared" si="110"/>
        <v>0.10470666666666667</v>
      </c>
      <c r="Z175" s="48"/>
      <c r="AA175" s="178">
        <f t="shared" si="111"/>
        <v>875</v>
      </c>
      <c r="AB175" s="147"/>
      <c r="AC175" s="147">
        <v>1500</v>
      </c>
      <c r="AD175" s="183"/>
      <c r="AE175" s="183">
        <f t="shared" si="83"/>
        <v>1342.94</v>
      </c>
      <c r="AF175" s="49">
        <f t="shared" si="91"/>
        <v>-625</v>
      </c>
      <c r="AG175" s="50">
        <f t="shared" si="100"/>
        <v>125</v>
      </c>
      <c r="AH175" s="25"/>
    </row>
    <row r="176" spans="1:34" ht="16" x14ac:dyDescent="0.2">
      <c r="A176" s="32"/>
      <c r="B176" s="32"/>
      <c r="C176" s="32"/>
      <c r="D176" s="32" t="s">
        <v>153</v>
      </c>
      <c r="E176" s="32"/>
      <c r="F176" s="32"/>
      <c r="G176" s="129"/>
      <c r="H176" s="146">
        <v>10.99</v>
      </c>
      <c r="I176" s="147">
        <v>509.49</v>
      </c>
      <c r="J176" s="147">
        <v>10.99</v>
      </c>
      <c r="K176" s="147"/>
      <c r="L176" s="147">
        <v>21.99</v>
      </c>
      <c r="M176" s="147"/>
      <c r="N176" s="147">
        <v>481.97</v>
      </c>
      <c r="O176" s="147"/>
      <c r="P176" s="147"/>
      <c r="Q176" s="147"/>
      <c r="R176" s="147"/>
      <c r="S176" s="257"/>
      <c r="T176" s="229">
        <f t="shared" si="108"/>
        <v>208.33333333333334</v>
      </c>
      <c r="U176" s="147">
        <f t="shared" si="82"/>
        <v>-422.90333333333342</v>
      </c>
      <c r="V176" s="147"/>
      <c r="W176" s="148">
        <f t="shared" si="109"/>
        <v>1035.43</v>
      </c>
      <c r="X176" s="48"/>
      <c r="Y176" s="197">
        <f t="shared" si="110"/>
        <v>0.41417200000000004</v>
      </c>
      <c r="Z176" s="48"/>
      <c r="AA176" s="178">
        <f t="shared" si="111"/>
        <v>1458.3333333333335</v>
      </c>
      <c r="AB176" s="147"/>
      <c r="AC176" s="147">
        <v>2500</v>
      </c>
      <c r="AD176" s="183"/>
      <c r="AE176" s="183">
        <f t="shared" si="83"/>
        <v>1464.57</v>
      </c>
      <c r="AF176" s="49">
        <f t="shared" si="91"/>
        <v>-1041.6666666666665</v>
      </c>
      <c r="AG176" s="50">
        <f t="shared" si="100"/>
        <v>208.33333333333334</v>
      </c>
      <c r="AH176" s="25"/>
    </row>
    <row r="177" spans="1:34" ht="16" x14ac:dyDescent="0.2">
      <c r="A177" s="32"/>
      <c r="B177" s="32"/>
      <c r="C177" s="32"/>
      <c r="D177" s="32" t="s">
        <v>154</v>
      </c>
      <c r="E177" s="32"/>
      <c r="F177" s="32"/>
      <c r="G177" s="129"/>
      <c r="H177" s="146">
        <v>126.7</v>
      </c>
      <c r="I177" s="147">
        <v>373.76</v>
      </c>
      <c r="J177" s="147">
        <v>568.83000000000004</v>
      </c>
      <c r="K177" s="147">
        <v>126.7</v>
      </c>
      <c r="L177" s="147">
        <v>226.16</v>
      </c>
      <c r="M177" s="147">
        <v>435.98</v>
      </c>
      <c r="N177" s="147">
        <v>375.92</v>
      </c>
      <c r="O177" s="147"/>
      <c r="P177" s="147"/>
      <c r="Q177" s="147"/>
      <c r="R177" s="147"/>
      <c r="S177" s="257"/>
      <c r="T177" s="229">
        <f t="shared" si="108"/>
        <v>333.33333333333331</v>
      </c>
      <c r="U177" s="147">
        <f t="shared" si="82"/>
        <v>-99.283333333332848</v>
      </c>
      <c r="V177" s="147"/>
      <c r="W177" s="148">
        <f t="shared" si="109"/>
        <v>2234.0500000000002</v>
      </c>
      <c r="X177" s="48"/>
      <c r="Y177" s="197">
        <f t="shared" si="110"/>
        <v>0.55851250000000008</v>
      </c>
      <c r="Z177" s="48"/>
      <c r="AA177" s="178">
        <f t="shared" si="111"/>
        <v>2333.333333333333</v>
      </c>
      <c r="AB177" s="147"/>
      <c r="AC177" s="147">
        <v>4000</v>
      </c>
      <c r="AD177" s="183"/>
      <c r="AE177" s="183">
        <f t="shared" si="83"/>
        <v>1765.9499999999998</v>
      </c>
      <c r="AF177" s="49">
        <f t="shared" si="91"/>
        <v>-1666.666666666667</v>
      </c>
      <c r="AG177" s="50">
        <f t="shared" si="100"/>
        <v>333.33333333333331</v>
      </c>
      <c r="AH177" s="25"/>
    </row>
    <row r="178" spans="1:34" ht="16" x14ac:dyDescent="0.2">
      <c r="A178" s="32"/>
      <c r="B178" s="32"/>
      <c r="C178" s="32"/>
      <c r="D178" s="32" t="s">
        <v>155</v>
      </c>
      <c r="E178" s="32"/>
      <c r="F178" s="32"/>
      <c r="G178" s="129"/>
      <c r="H178" s="146"/>
      <c r="I178" s="147">
        <v>0</v>
      </c>
      <c r="J178" s="147">
        <v>0</v>
      </c>
      <c r="K178" s="147"/>
      <c r="L178" s="147">
        <v>9.6</v>
      </c>
      <c r="M178" s="147"/>
      <c r="N178" s="147"/>
      <c r="O178" s="147"/>
      <c r="P178" s="147"/>
      <c r="Q178" s="147"/>
      <c r="R178" s="147"/>
      <c r="S178" s="257"/>
      <c r="T178" s="229">
        <f t="shared" si="108"/>
        <v>83.333333333333329</v>
      </c>
      <c r="U178" s="147">
        <f t="shared" si="82"/>
        <v>-573.73333333333323</v>
      </c>
      <c r="V178" s="147"/>
      <c r="W178" s="148">
        <f t="shared" si="109"/>
        <v>9.6</v>
      </c>
      <c r="X178" s="48"/>
      <c r="Y178" s="197">
        <f t="shared" si="110"/>
        <v>9.5999999999999992E-3</v>
      </c>
      <c r="Z178" s="48"/>
      <c r="AA178" s="178">
        <f t="shared" si="111"/>
        <v>583.33333333333326</v>
      </c>
      <c r="AB178" s="147"/>
      <c r="AC178" s="147">
        <v>1000</v>
      </c>
      <c r="AD178" s="183"/>
      <c r="AE178" s="183">
        <f t="shared" si="83"/>
        <v>990.4</v>
      </c>
      <c r="AF178" s="49">
        <f t="shared" si="91"/>
        <v>-416.66666666666674</v>
      </c>
      <c r="AG178" s="50">
        <f t="shared" si="100"/>
        <v>83.333333333333329</v>
      </c>
      <c r="AH178" s="25"/>
    </row>
    <row r="179" spans="1:34" ht="16" x14ac:dyDescent="0.2">
      <c r="A179" s="32"/>
      <c r="B179" s="32"/>
      <c r="C179" s="32"/>
      <c r="D179" s="32" t="s">
        <v>156</v>
      </c>
      <c r="E179" s="32"/>
      <c r="F179" s="32"/>
      <c r="G179" s="129"/>
      <c r="H179" s="146"/>
      <c r="I179" s="147">
        <v>2062.3000000000002</v>
      </c>
      <c r="J179" s="147">
        <v>186.09</v>
      </c>
      <c r="K179" s="147">
        <v>0</v>
      </c>
      <c r="L179" s="147">
        <v>13.88</v>
      </c>
      <c r="M179" s="147">
        <v>214.65</v>
      </c>
      <c r="N179" s="147">
        <v>38.85</v>
      </c>
      <c r="O179" s="147"/>
      <c r="P179" s="147"/>
      <c r="Q179" s="147"/>
      <c r="R179" s="147"/>
      <c r="S179" s="257"/>
      <c r="T179" s="229">
        <f t="shared" si="108"/>
        <v>416.66666666666669</v>
      </c>
      <c r="U179" s="147">
        <f t="shared" si="82"/>
        <v>-400.89666666666653</v>
      </c>
      <c r="V179" s="147"/>
      <c r="W179" s="148">
        <f t="shared" si="109"/>
        <v>2515.7700000000004</v>
      </c>
      <c r="X179" s="48"/>
      <c r="Y179" s="197">
        <f t="shared" si="110"/>
        <v>0.5031540000000001</v>
      </c>
      <c r="Z179" s="48"/>
      <c r="AA179" s="178">
        <f t="shared" si="111"/>
        <v>2916.666666666667</v>
      </c>
      <c r="AB179" s="147"/>
      <c r="AC179" s="147">
        <v>5000</v>
      </c>
      <c r="AD179" s="183"/>
      <c r="AE179" s="183">
        <f t="shared" si="83"/>
        <v>2484.2299999999996</v>
      </c>
      <c r="AF179" s="49">
        <f t="shared" si="91"/>
        <v>-2083.333333333333</v>
      </c>
      <c r="AG179" s="50">
        <f t="shared" si="100"/>
        <v>416.66666666666669</v>
      </c>
      <c r="AH179" s="25"/>
    </row>
    <row r="180" spans="1:34" ht="16" x14ac:dyDescent="0.2">
      <c r="A180" s="32"/>
      <c r="B180" s="32"/>
      <c r="C180" s="32"/>
      <c r="D180" s="32" t="s">
        <v>157</v>
      </c>
      <c r="E180" s="32"/>
      <c r="F180" s="32"/>
      <c r="G180" s="129"/>
      <c r="H180" s="146">
        <v>110.96</v>
      </c>
      <c r="I180" s="147">
        <v>103.17</v>
      </c>
      <c r="J180" s="147">
        <v>117.16</v>
      </c>
      <c r="K180" s="147">
        <v>44.58</v>
      </c>
      <c r="L180" s="147">
        <v>0</v>
      </c>
      <c r="M180" s="147">
        <v>170.34</v>
      </c>
      <c r="N180" s="147"/>
      <c r="O180" s="147"/>
      <c r="P180" s="147"/>
      <c r="Q180" s="147"/>
      <c r="R180" s="147"/>
      <c r="S180" s="257"/>
      <c r="T180" s="229">
        <f t="shared" si="108"/>
        <v>166.66666666666666</v>
      </c>
      <c r="U180" s="147">
        <f t="shared" si="82"/>
        <v>-620.45666666666659</v>
      </c>
      <c r="V180" s="147"/>
      <c r="W180" s="148">
        <f t="shared" si="109"/>
        <v>546.20999999999992</v>
      </c>
      <c r="X180" s="48"/>
      <c r="Y180" s="197">
        <f t="shared" si="110"/>
        <v>0.27310499999999999</v>
      </c>
      <c r="Z180" s="48"/>
      <c r="AA180" s="178">
        <f t="shared" si="111"/>
        <v>1166.6666666666665</v>
      </c>
      <c r="AB180" s="147"/>
      <c r="AC180" s="147">
        <v>2000</v>
      </c>
      <c r="AD180" s="183"/>
      <c r="AE180" s="183">
        <f t="shared" si="83"/>
        <v>1453.79</v>
      </c>
      <c r="AF180" s="49">
        <f t="shared" si="91"/>
        <v>-833.33333333333348</v>
      </c>
      <c r="AG180" s="50">
        <f t="shared" si="100"/>
        <v>166.66666666666666</v>
      </c>
      <c r="AH180" s="25"/>
    </row>
    <row r="181" spans="1:34" ht="16" x14ac:dyDescent="0.2">
      <c r="A181" s="32"/>
      <c r="B181" s="32"/>
      <c r="C181" s="32"/>
      <c r="D181" s="32" t="s">
        <v>158</v>
      </c>
      <c r="E181" s="32"/>
      <c r="F181" s="32"/>
      <c r="G181" s="129"/>
      <c r="H181" s="146"/>
      <c r="I181" s="147">
        <v>1629.54</v>
      </c>
      <c r="J181" s="147">
        <v>204.18</v>
      </c>
      <c r="K181" s="147">
        <v>-204.18</v>
      </c>
      <c r="L181" s="147"/>
      <c r="M181" s="147"/>
      <c r="N181" s="147"/>
      <c r="O181" s="147"/>
      <c r="P181" s="147"/>
      <c r="Q181" s="147"/>
      <c r="R181" s="147"/>
      <c r="S181" s="257"/>
      <c r="T181" s="229">
        <f t="shared" si="108"/>
        <v>250</v>
      </c>
      <c r="U181" s="147">
        <f t="shared" si="82"/>
        <v>-120.46000000000004</v>
      </c>
      <c r="V181" s="147"/>
      <c r="W181" s="148">
        <f t="shared" si="109"/>
        <v>1629.54</v>
      </c>
      <c r="X181" s="48"/>
      <c r="Y181" s="197">
        <f t="shared" si="110"/>
        <v>0.54318</v>
      </c>
      <c r="Z181" s="48"/>
      <c r="AA181" s="178">
        <f t="shared" si="111"/>
        <v>1750</v>
      </c>
      <c r="AB181" s="147"/>
      <c r="AC181" s="147">
        <v>3000</v>
      </c>
      <c r="AD181" s="183"/>
      <c r="AE181" s="183">
        <f t="shared" si="83"/>
        <v>1370.46</v>
      </c>
      <c r="AF181" s="49">
        <f t="shared" si="91"/>
        <v>-1250</v>
      </c>
      <c r="AG181" s="50">
        <f t="shared" si="100"/>
        <v>250</v>
      </c>
      <c r="AH181" s="25"/>
    </row>
    <row r="182" spans="1:34" ht="16" x14ac:dyDescent="0.2">
      <c r="A182" s="32"/>
      <c r="B182" s="32"/>
      <c r="C182" s="32"/>
      <c r="D182" s="32"/>
      <c r="E182" s="32"/>
      <c r="F182" s="32"/>
      <c r="G182" s="129"/>
      <c r="H182" s="146"/>
      <c r="I182" s="147"/>
      <c r="J182" s="147"/>
      <c r="K182" s="147"/>
      <c r="L182" s="147"/>
      <c r="M182" s="147"/>
      <c r="N182" s="147"/>
      <c r="O182" s="147"/>
      <c r="P182" s="147"/>
      <c r="Q182" s="147"/>
      <c r="R182" s="147"/>
      <c r="S182" s="257"/>
      <c r="T182" s="229"/>
      <c r="U182" s="147"/>
      <c r="V182" s="147"/>
      <c r="W182" s="148"/>
      <c r="X182" s="48"/>
      <c r="Y182" s="197"/>
      <c r="Z182" s="48"/>
      <c r="AA182" s="178"/>
      <c r="AB182" s="147"/>
      <c r="AC182" s="147"/>
      <c r="AD182" s="183"/>
      <c r="AE182" s="183"/>
      <c r="AF182" s="49"/>
      <c r="AG182" s="50"/>
      <c r="AH182" s="25"/>
    </row>
    <row r="183" spans="1:34" ht="16" x14ac:dyDescent="0.2">
      <c r="A183" s="32"/>
      <c r="B183" s="32"/>
      <c r="C183" s="32"/>
      <c r="D183" s="32" t="s">
        <v>159</v>
      </c>
      <c r="E183" s="32"/>
      <c r="F183" s="32"/>
      <c r="G183" s="129"/>
      <c r="H183" s="146"/>
      <c r="I183" s="147"/>
      <c r="J183" s="147"/>
      <c r="K183" s="147"/>
      <c r="L183" s="147"/>
      <c r="M183" s="147"/>
      <c r="N183" s="147"/>
      <c r="O183" s="147"/>
      <c r="P183" s="147"/>
      <c r="Q183" s="147"/>
      <c r="R183" s="147"/>
      <c r="S183" s="257"/>
      <c r="T183" s="229">
        <f t="shared" si="108"/>
        <v>0</v>
      </c>
      <c r="U183" s="147">
        <f t="shared" si="82"/>
        <v>0</v>
      </c>
      <c r="V183" s="147"/>
      <c r="W183" s="148">
        <f t="shared" si="109"/>
        <v>0</v>
      </c>
      <c r="X183" s="48"/>
      <c r="Y183" s="197" t="e">
        <f t="shared" si="110"/>
        <v>#DIV/0!</v>
      </c>
      <c r="Z183" s="48"/>
      <c r="AA183" s="178">
        <f t="shared" si="111"/>
        <v>0</v>
      </c>
      <c r="AB183" s="147"/>
      <c r="AC183" s="147">
        <v>0</v>
      </c>
      <c r="AD183" s="183"/>
      <c r="AE183" s="183">
        <f t="shared" si="83"/>
        <v>0</v>
      </c>
      <c r="AF183" s="49">
        <f t="shared" si="91"/>
        <v>0</v>
      </c>
      <c r="AG183" s="50">
        <f t="shared" si="100"/>
        <v>0</v>
      </c>
      <c r="AH183" s="25"/>
    </row>
    <row r="184" spans="1:34" ht="16" x14ac:dyDescent="0.2">
      <c r="A184" s="32"/>
      <c r="B184" s="32"/>
      <c r="C184" s="32"/>
      <c r="D184" s="32" t="s">
        <v>160</v>
      </c>
      <c r="E184" s="32"/>
      <c r="F184" s="32"/>
      <c r="G184" s="129"/>
      <c r="H184" s="146">
        <v>1600</v>
      </c>
      <c r="I184" s="147"/>
      <c r="J184" s="147"/>
      <c r="K184" s="147"/>
      <c r="L184" s="147"/>
      <c r="M184" s="147"/>
      <c r="N184" s="147"/>
      <c r="O184" s="147"/>
      <c r="P184" s="147"/>
      <c r="Q184" s="147"/>
      <c r="R184" s="147"/>
      <c r="S184" s="257"/>
      <c r="T184" s="229">
        <f t="shared" si="108"/>
        <v>137.5</v>
      </c>
      <c r="U184" s="147">
        <f t="shared" si="82"/>
        <v>637.5</v>
      </c>
      <c r="V184" s="147"/>
      <c r="W184" s="148">
        <f t="shared" si="109"/>
        <v>1600</v>
      </c>
      <c r="X184" s="48"/>
      <c r="Y184" s="197">
        <f t="shared" si="110"/>
        <v>0.96969696969696972</v>
      </c>
      <c r="Z184" s="48"/>
      <c r="AA184" s="178">
        <f t="shared" si="111"/>
        <v>962.5</v>
      </c>
      <c r="AB184" s="147"/>
      <c r="AC184" s="147">
        <v>1650</v>
      </c>
      <c r="AD184" s="183"/>
      <c r="AE184" s="183">
        <v>1100</v>
      </c>
      <c r="AF184" s="49">
        <f t="shared" si="91"/>
        <v>-687.5</v>
      </c>
      <c r="AG184" s="50">
        <f t="shared" si="100"/>
        <v>137.5</v>
      </c>
      <c r="AH184" s="25"/>
    </row>
    <row r="185" spans="1:34" ht="16" x14ac:dyDescent="0.2">
      <c r="A185" s="32"/>
      <c r="B185" s="32"/>
      <c r="C185" s="32"/>
      <c r="D185" s="32" t="s">
        <v>161</v>
      </c>
      <c r="E185" s="32"/>
      <c r="F185" s="32"/>
      <c r="G185" s="129"/>
      <c r="H185" s="146">
        <v>151.25</v>
      </c>
      <c r="I185" s="147">
        <v>151.25</v>
      </c>
      <c r="J185" s="147">
        <v>151.25</v>
      </c>
      <c r="K185" s="147">
        <v>151.25</v>
      </c>
      <c r="L185" s="147">
        <v>151.25</v>
      </c>
      <c r="M185" s="147">
        <v>151.25</v>
      </c>
      <c r="N185" s="147">
        <v>151.25</v>
      </c>
      <c r="O185" s="147"/>
      <c r="P185" s="147"/>
      <c r="Q185" s="147"/>
      <c r="R185" s="147"/>
      <c r="S185" s="257"/>
      <c r="T185" s="229">
        <f t="shared" si="108"/>
        <v>141.66666666666666</v>
      </c>
      <c r="U185" s="147">
        <f t="shared" si="82"/>
        <v>67.083333333333371</v>
      </c>
      <c r="V185" s="147"/>
      <c r="W185" s="148">
        <f t="shared" si="109"/>
        <v>1058.75</v>
      </c>
      <c r="X185" s="48"/>
      <c r="Y185" s="197">
        <f t="shared" si="110"/>
        <v>0.62279411764705883</v>
      </c>
      <c r="Z185" s="48"/>
      <c r="AA185" s="178">
        <f t="shared" si="111"/>
        <v>991.66666666666663</v>
      </c>
      <c r="AB185" s="147"/>
      <c r="AC185" s="147">
        <v>1700</v>
      </c>
      <c r="AD185" s="183"/>
      <c r="AE185" s="183">
        <f t="shared" si="83"/>
        <v>641.25</v>
      </c>
      <c r="AF185" s="49">
        <f t="shared" si="91"/>
        <v>-708.33333333333337</v>
      </c>
      <c r="AG185" s="50">
        <f t="shared" si="100"/>
        <v>141.66666666666666</v>
      </c>
      <c r="AH185" s="25"/>
    </row>
    <row r="186" spans="1:34" ht="16" hidden="1" x14ac:dyDescent="0.2">
      <c r="A186" s="32"/>
      <c r="B186" s="32"/>
      <c r="C186" s="32"/>
      <c r="D186" s="32" t="s">
        <v>162</v>
      </c>
      <c r="E186" s="32"/>
      <c r="F186" s="32"/>
      <c r="G186" s="129"/>
      <c r="H186" s="146"/>
      <c r="I186" s="147"/>
      <c r="J186" s="147"/>
      <c r="K186" s="147"/>
      <c r="L186" s="147"/>
      <c r="M186" s="147"/>
      <c r="N186" s="147"/>
      <c r="O186" s="147"/>
      <c r="P186" s="147"/>
      <c r="Q186" s="147"/>
      <c r="R186" s="147"/>
      <c r="S186" s="257"/>
      <c r="T186" s="229">
        <f t="shared" ref="T186:T188" si="112">AC186/12</f>
        <v>0</v>
      </c>
      <c r="U186" s="147">
        <f t="shared" ref="U186:U188" si="113">W186-AA186</f>
        <v>0</v>
      </c>
      <c r="V186" s="147"/>
      <c r="W186" s="148">
        <f t="shared" si="109"/>
        <v>0</v>
      </c>
      <c r="X186" s="48"/>
      <c r="Y186" s="197"/>
      <c r="Z186" s="48"/>
      <c r="AA186" s="178">
        <f t="shared" si="111"/>
        <v>0</v>
      </c>
      <c r="AB186" s="147"/>
      <c r="AC186" s="147"/>
      <c r="AD186" s="183"/>
      <c r="AE186" s="183">
        <f t="shared" si="83"/>
        <v>0</v>
      </c>
      <c r="AF186" s="49">
        <f t="shared" si="91"/>
        <v>0</v>
      </c>
      <c r="AG186" s="50">
        <f t="shared" si="100"/>
        <v>0</v>
      </c>
      <c r="AH186" s="25"/>
    </row>
    <row r="187" spans="1:34" ht="16" hidden="1" x14ac:dyDescent="0.2">
      <c r="A187" s="32"/>
      <c r="B187" s="32"/>
      <c r="C187" s="32"/>
      <c r="D187" s="32" t="s">
        <v>163</v>
      </c>
      <c r="E187" s="32"/>
      <c r="F187" s="32"/>
      <c r="G187" s="129"/>
      <c r="H187" s="146"/>
      <c r="I187" s="147"/>
      <c r="J187" s="147"/>
      <c r="K187" s="147"/>
      <c r="L187" s="147"/>
      <c r="M187" s="147"/>
      <c r="N187" s="147"/>
      <c r="O187" s="147"/>
      <c r="P187" s="147"/>
      <c r="Q187" s="147"/>
      <c r="R187" s="147"/>
      <c r="S187" s="257"/>
      <c r="T187" s="229">
        <f t="shared" si="112"/>
        <v>0</v>
      </c>
      <c r="U187" s="147">
        <f t="shared" si="113"/>
        <v>0</v>
      </c>
      <c r="V187" s="147"/>
      <c r="W187" s="148">
        <f t="shared" si="109"/>
        <v>0</v>
      </c>
      <c r="X187" s="48"/>
      <c r="Y187" s="197"/>
      <c r="Z187" s="48"/>
      <c r="AA187" s="178">
        <f t="shared" si="111"/>
        <v>0</v>
      </c>
      <c r="AB187" s="147"/>
      <c r="AC187" s="147"/>
      <c r="AD187" s="183"/>
      <c r="AE187" s="183">
        <f t="shared" si="83"/>
        <v>0</v>
      </c>
      <c r="AF187" s="49">
        <f t="shared" si="91"/>
        <v>0</v>
      </c>
      <c r="AG187" s="50">
        <f t="shared" si="100"/>
        <v>0</v>
      </c>
      <c r="AH187" s="25"/>
    </row>
    <row r="188" spans="1:34" ht="16" x14ac:dyDescent="0.2">
      <c r="A188" s="32"/>
      <c r="B188" s="32"/>
      <c r="C188" s="32" t="s">
        <v>216</v>
      </c>
      <c r="D188" s="32"/>
      <c r="E188" s="32"/>
      <c r="F188" s="32"/>
      <c r="G188" s="129"/>
      <c r="H188" s="146"/>
      <c r="I188" s="147"/>
      <c r="J188" s="147"/>
      <c r="K188" s="147"/>
      <c r="L188" s="147"/>
      <c r="M188" s="147"/>
      <c r="N188" s="147"/>
      <c r="O188" s="147"/>
      <c r="P188" s="147"/>
      <c r="Q188" s="147"/>
      <c r="R188" s="147"/>
      <c r="S188" s="257"/>
      <c r="T188" s="229">
        <f t="shared" si="112"/>
        <v>0</v>
      </c>
      <c r="U188" s="147">
        <f t="shared" si="113"/>
        <v>0</v>
      </c>
      <c r="V188" s="147"/>
      <c r="W188" s="148">
        <f t="shared" si="109"/>
        <v>0</v>
      </c>
      <c r="X188" s="48"/>
      <c r="Y188" s="197"/>
      <c r="Z188" s="48"/>
      <c r="AA188" s="178"/>
      <c r="AB188" s="147"/>
      <c r="AC188" s="147"/>
      <c r="AD188" s="183"/>
      <c r="AE188" s="183"/>
      <c r="AF188" s="49"/>
      <c r="AG188" s="50"/>
      <c r="AH188" s="25"/>
    </row>
    <row r="189" spans="1:34" ht="16" x14ac:dyDescent="0.2">
      <c r="A189" s="32"/>
      <c r="B189" s="32"/>
      <c r="C189" s="93" t="s">
        <v>203</v>
      </c>
      <c r="D189" s="93"/>
      <c r="E189" s="93"/>
      <c r="F189" s="93"/>
      <c r="G189" s="130"/>
      <c r="H189" s="149"/>
      <c r="I189" s="150"/>
      <c r="J189" s="150"/>
      <c r="K189" s="150"/>
      <c r="L189" s="150"/>
      <c r="M189" s="150"/>
      <c r="N189" s="150"/>
      <c r="O189" s="150"/>
      <c r="P189" s="150"/>
      <c r="Q189" s="150"/>
      <c r="R189" s="150"/>
      <c r="S189" s="258"/>
      <c r="T189" s="230"/>
      <c r="U189" s="150"/>
      <c r="V189" s="150"/>
      <c r="W189" s="150"/>
      <c r="X189" s="94"/>
      <c r="Y189" s="205"/>
      <c r="Z189" s="94"/>
      <c r="AA189" s="150"/>
      <c r="AB189" s="150"/>
      <c r="AC189" s="150"/>
      <c r="AD189" s="184"/>
      <c r="AE189" s="184"/>
      <c r="AF189" s="49"/>
      <c r="AG189" s="50"/>
      <c r="AH189" s="25"/>
    </row>
    <row r="190" spans="1:34" ht="16" x14ac:dyDescent="0.2">
      <c r="A190" s="32"/>
      <c r="B190" s="32"/>
      <c r="C190" s="32"/>
      <c r="D190" s="32"/>
      <c r="E190" s="32" t="s">
        <v>164</v>
      </c>
      <c r="F190" s="22"/>
      <c r="G190" s="129"/>
      <c r="H190" s="146">
        <v>1759.5</v>
      </c>
      <c r="I190" s="147">
        <v>2137.5</v>
      </c>
      <c r="J190" s="147">
        <v>-742.98</v>
      </c>
      <c r="K190" s="147">
        <v>-318.5</v>
      </c>
      <c r="L190" s="147">
        <v>1128.45</v>
      </c>
      <c r="M190" s="147"/>
      <c r="N190" s="147">
        <v>822.5</v>
      </c>
      <c r="O190" s="147"/>
      <c r="P190" s="147"/>
      <c r="Q190" s="147"/>
      <c r="R190" s="147"/>
      <c r="S190" s="257"/>
      <c r="T190" s="229">
        <f>AC190/12</f>
        <v>1666.6666666666667</v>
      </c>
      <c r="U190" s="147">
        <f>W190-AA190</f>
        <v>-6880.1966666666676</v>
      </c>
      <c r="V190" s="147"/>
      <c r="W190" s="148">
        <f t="shared" ref="W190:W198" si="114">SUM(H190:S190)</f>
        <v>4786.47</v>
      </c>
      <c r="X190" s="48"/>
      <c r="Y190" s="197">
        <f t="shared" ref="Y190:Y193" si="115">W190/AC190</f>
        <v>0.23932350000000002</v>
      </c>
      <c r="Z190" s="48"/>
      <c r="AA190" s="178">
        <f t="shared" si="111"/>
        <v>11666.666666666668</v>
      </c>
      <c r="AB190" s="147"/>
      <c r="AC190" s="147">
        <v>20000</v>
      </c>
      <c r="AD190" s="183"/>
      <c r="AE190" s="183">
        <f t="shared" si="83"/>
        <v>15213.529999999999</v>
      </c>
      <c r="AF190" s="49">
        <f t="shared" si="91"/>
        <v>-8333.3333333333321</v>
      </c>
      <c r="AG190" s="50">
        <f t="shared" si="100"/>
        <v>1666.6666666666667</v>
      </c>
      <c r="AH190" s="25"/>
    </row>
    <row r="191" spans="1:34" ht="16" x14ac:dyDescent="0.2">
      <c r="A191" s="32"/>
      <c r="B191" s="32"/>
      <c r="C191" s="32"/>
      <c r="D191" s="32"/>
      <c r="E191" s="32" t="s">
        <v>221</v>
      </c>
      <c r="F191" s="22"/>
      <c r="G191" s="129"/>
      <c r="H191" s="146">
        <v>226.27</v>
      </c>
      <c r="I191" s="147">
        <v>48.61</v>
      </c>
      <c r="J191" s="147">
        <v>120.43</v>
      </c>
      <c r="K191" s="147">
        <v>-41.25</v>
      </c>
      <c r="L191" s="147">
        <v>140.72</v>
      </c>
      <c r="M191" s="147"/>
      <c r="N191" s="147">
        <v>62.93</v>
      </c>
      <c r="O191" s="147"/>
      <c r="P191" s="147"/>
      <c r="Q191" s="147"/>
      <c r="R191" s="147"/>
      <c r="S191" s="257"/>
      <c r="T191" s="229">
        <f>AC191/12</f>
        <v>220</v>
      </c>
      <c r="U191" s="147">
        <f t="shared" si="82"/>
        <v>-982.29000000000008</v>
      </c>
      <c r="V191" s="147"/>
      <c r="W191" s="148">
        <f t="shared" si="114"/>
        <v>557.70999999999992</v>
      </c>
      <c r="X191" s="48"/>
      <c r="Y191" s="197">
        <f t="shared" si="115"/>
        <v>0.21125378787878785</v>
      </c>
      <c r="Z191" s="48"/>
      <c r="AA191" s="178">
        <f t="shared" si="111"/>
        <v>1540</v>
      </c>
      <c r="AB191" s="147"/>
      <c r="AC191" s="147">
        <v>2640</v>
      </c>
      <c r="AD191" s="183"/>
      <c r="AE191" s="183">
        <f t="shared" si="83"/>
        <v>2082.29</v>
      </c>
      <c r="AF191" s="49">
        <f t="shared" si="91"/>
        <v>-1100</v>
      </c>
      <c r="AG191" s="50">
        <f t="shared" si="100"/>
        <v>220</v>
      </c>
      <c r="AH191" s="25"/>
    </row>
    <row r="192" spans="1:34" ht="16" x14ac:dyDescent="0.2">
      <c r="A192" s="32"/>
      <c r="B192" s="32"/>
      <c r="C192" s="32"/>
      <c r="D192" s="105" t="s">
        <v>165</v>
      </c>
      <c r="E192" s="105"/>
      <c r="F192" s="105"/>
      <c r="G192" s="131"/>
      <c r="H192" s="151">
        <f t="shared" ref="H192:S192" si="116">SUM(H190:H191)</f>
        <v>1985.77</v>
      </c>
      <c r="I192" s="152">
        <f t="shared" si="116"/>
        <v>2186.11</v>
      </c>
      <c r="J192" s="152">
        <f t="shared" si="116"/>
        <v>-622.54999999999995</v>
      </c>
      <c r="K192" s="152">
        <f t="shared" si="116"/>
        <v>-359.75</v>
      </c>
      <c r="L192" s="152">
        <f t="shared" si="116"/>
        <v>1269.17</v>
      </c>
      <c r="M192" s="152">
        <f t="shared" si="116"/>
        <v>0</v>
      </c>
      <c r="N192" s="152">
        <f t="shared" si="116"/>
        <v>885.43</v>
      </c>
      <c r="O192" s="152">
        <f t="shared" si="116"/>
        <v>0</v>
      </c>
      <c r="P192" s="152">
        <f t="shared" si="116"/>
        <v>0</v>
      </c>
      <c r="Q192" s="152">
        <f t="shared" si="116"/>
        <v>0</v>
      </c>
      <c r="R192" s="152">
        <f t="shared" si="116"/>
        <v>0</v>
      </c>
      <c r="S192" s="259">
        <f t="shared" si="116"/>
        <v>0</v>
      </c>
      <c r="T192" s="231">
        <f>AC192/12</f>
        <v>1886.6666666666667</v>
      </c>
      <c r="U192" s="152">
        <f>SUM(U190:U191)</f>
        <v>-7862.4866666666676</v>
      </c>
      <c r="V192" s="152"/>
      <c r="W192" s="152">
        <f t="shared" si="114"/>
        <v>5344.18</v>
      </c>
      <c r="X192" s="103"/>
      <c r="Y192" s="200">
        <f t="shared" si="115"/>
        <v>0.23605035335689048</v>
      </c>
      <c r="Z192" s="103"/>
      <c r="AA192" s="152">
        <f>SUM(AA190:AA191)</f>
        <v>13206.666666666668</v>
      </c>
      <c r="AB192" s="152">
        <f>SUM(AB190:AB191)</f>
        <v>0</v>
      </c>
      <c r="AC192" s="152">
        <f>SUM(AC190:AC191)</f>
        <v>22640</v>
      </c>
      <c r="AD192" s="192"/>
      <c r="AE192" s="152">
        <f>SUM(AE190:AE191)</f>
        <v>17295.82</v>
      </c>
      <c r="AF192" s="49">
        <f t="shared" si="91"/>
        <v>-9433.3333333333321</v>
      </c>
      <c r="AG192" s="50"/>
      <c r="AH192" s="25"/>
    </row>
    <row r="193" spans="1:34" ht="33.75" customHeight="1" x14ac:dyDescent="0.2">
      <c r="A193" s="32"/>
      <c r="B193" s="32"/>
      <c r="C193" s="32" t="s">
        <v>166</v>
      </c>
      <c r="D193" s="32"/>
      <c r="E193" s="32"/>
      <c r="F193" s="32"/>
      <c r="G193" s="129"/>
      <c r="H193" s="146">
        <f>H174+H175+H176+H177+H178+H179+H180+H181+H182+H183+H184+H185+H190+H191+H188</f>
        <v>4454.42</v>
      </c>
      <c r="I193" s="146">
        <f t="shared" ref="I193:S193" si="117">I174+I175+I176+I177+I178+I179+I180+I181+I182+I183+I184+I185+I190+I191+I188</f>
        <v>7532.88</v>
      </c>
      <c r="J193" s="146">
        <f t="shared" si="117"/>
        <v>615.95000000000005</v>
      </c>
      <c r="K193" s="146">
        <f t="shared" si="117"/>
        <v>47.889999999999986</v>
      </c>
      <c r="L193" s="146">
        <f t="shared" si="117"/>
        <v>1910.17</v>
      </c>
      <c r="M193" s="146">
        <f t="shared" si="117"/>
        <v>1227.03</v>
      </c>
      <c r="N193" s="146">
        <f t="shared" si="117"/>
        <v>2145.23</v>
      </c>
      <c r="O193" s="146">
        <f t="shared" si="117"/>
        <v>0</v>
      </c>
      <c r="P193" s="146">
        <f t="shared" si="117"/>
        <v>0</v>
      </c>
      <c r="Q193" s="146">
        <f t="shared" si="117"/>
        <v>0</v>
      </c>
      <c r="R193" s="146">
        <f t="shared" si="117"/>
        <v>0</v>
      </c>
      <c r="S193" s="146">
        <f t="shared" si="117"/>
        <v>0</v>
      </c>
      <c r="T193" s="146">
        <f>T174+T175+T176+T177+T178+T179+T180+T181+T182+T183+T184+T185+T190+T191+T188</f>
        <v>3999.166666666667</v>
      </c>
      <c r="U193" s="146">
        <f>U174+U175+U176+U177+U178+U179+U180+U181+U182+U183+U184+U185+U190+U191+U188</f>
        <v>-10060.596666666668</v>
      </c>
      <c r="V193" s="147"/>
      <c r="W193" s="148">
        <f t="shared" si="114"/>
        <v>17933.57</v>
      </c>
      <c r="X193" s="48"/>
      <c r="Y193" s="197">
        <f t="shared" si="115"/>
        <v>0.37369389456136692</v>
      </c>
      <c r="Z193" s="48"/>
      <c r="AA193" s="178">
        <f>SUM(AA174:AA191)+AA186</f>
        <v>27994.166666666664</v>
      </c>
      <c r="AB193" s="147">
        <f>SUM(AB168:AB179)+AB186</f>
        <v>0</v>
      </c>
      <c r="AC193" s="147">
        <f>SUM(AC174:AC185)+AC192</f>
        <v>47990</v>
      </c>
      <c r="AD193" s="183"/>
      <c r="AE193" s="147">
        <f>SUM(AE168:AE179)+AE186</f>
        <v>1346826.3399999996</v>
      </c>
      <c r="AF193" s="49">
        <f t="shared" ref="AF193" si="118">AA193-AC193</f>
        <v>-19995.833333333336</v>
      </c>
      <c r="AG193" s="50"/>
      <c r="AH193" s="25"/>
    </row>
    <row r="194" spans="1:34" ht="16" x14ac:dyDescent="0.2">
      <c r="A194" s="32"/>
      <c r="B194" s="32"/>
      <c r="C194" s="32" t="s">
        <v>242</v>
      </c>
      <c r="D194" s="32"/>
      <c r="E194" s="32"/>
      <c r="F194" s="32"/>
      <c r="G194" s="129"/>
      <c r="H194" s="146"/>
      <c r="I194" s="147"/>
      <c r="J194" s="147"/>
      <c r="K194" s="147"/>
      <c r="L194" s="147"/>
      <c r="M194" s="147"/>
      <c r="N194" s="147"/>
      <c r="O194" s="147"/>
      <c r="P194" s="147"/>
      <c r="Q194" s="147"/>
      <c r="R194" s="147"/>
      <c r="S194" s="257"/>
      <c r="T194" s="229"/>
      <c r="U194" s="147"/>
      <c r="V194" s="147"/>
      <c r="W194" s="148">
        <f t="shared" si="114"/>
        <v>0</v>
      </c>
      <c r="X194" s="48"/>
      <c r="Y194" s="281"/>
      <c r="Z194" s="48"/>
      <c r="AA194" s="178">
        <f t="shared" ref="AA194:AA199" si="119">AC194/12*$AI$5</f>
        <v>0</v>
      </c>
      <c r="AB194" s="147"/>
      <c r="AC194" s="147"/>
      <c r="AD194" s="183"/>
      <c r="AE194" s="147"/>
      <c r="AF194" s="49"/>
      <c r="AG194" s="50"/>
      <c r="AH194" s="25"/>
    </row>
    <row r="195" spans="1:34" ht="16" x14ac:dyDescent="0.2">
      <c r="A195" s="32"/>
      <c r="B195" s="32"/>
      <c r="C195" s="32"/>
      <c r="D195" s="32"/>
      <c r="E195" s="32" t="s">
        <v>244</v>
      </c>
      <c r="F195" s="32"/>
      <c r="G195" s="129"/>
      <c r="H195" s="146"/>
      <c r="I195" s="147"/>
      <c r="J195" s="147"/>
      <c r="K195" s="147"/>
      <c r="L195" s="147"/>
      <c r="M195" s="147">
        <v>761.73</v>
      </c>
      <c r="N195" s="147"/>
      <c r="O195" s="147"/>
      <c r="P195" s="147"/>
      <c r="Q195" s="147"/>
      <c r="R195" s="147"/>
      <c r="S195" s="257"/>
      <c r="T195" s="229">
        <f>AC195/12</f>
        <v>0</v>
      </c>
      <c r="U195" s="147"/>
      <c r="V195" s="147"/>
      <c r="W195" s="148">
        <f t="shared" si="114"/>
        <v>761.73</v>
      </c>
      <c r="X195" s="48"/>
      <c r="Y195" s="281"/>
      <c r="Z195" s="48"/>
      <c r="AA195" s="178">
        <f t="shared" si="119"/>
        <v>0</v>
      </c>
      <c r="AB195" s="147"/>
      <c r="AC195" s="147">
        <v>0</v>
      </c>
      <c r="AD195" s="183"/>
      <c r="AE195" s="147"/>
      <c r="AF195" s="49"/>
      <c r="AG195" s="50"/>
      <c r="AH195" s="25"/>
    </row>
    <row r="196" spans="1:34" ht="16" x14ac:dyDescent="0.2">
      <c r="A196" s="32"/>
      <c r="B196" s="32"/>
      <c r="C196" s="32"/>
      <c r="D196" s="32"/>
      <c r="E196" s="32"/>
      <c r="F196" s="32"/>
      <c r="G196" s="129"/>
      <c r="H196" s="146"/>
      <c r="I196" s="147"/>
      <c r="J196" s="147"/>
      <c r="K196" s="147"/>
      <c r="L196" s="147"/>
      <c r="M196" s="147"/>
      <c r="N196" s="147"/>
      <c r="O196" s="147"/>
      <c r="P196" s="147"/>
      <c r="Q196" s="147"/>
      <c r="R196" s="147"/>
      <c r="S196" s="257"/>
      <c r="T196" s="229">
        <f>AC196/12</f>
        <v>0</v>
      </c>
      <c r="U196" s="147"/>
      <c r="V196" s="147"/>
      <c r="W196" s="148">
        <f t="shared" si="114"/>
        <v>0</v>
      </c>
      <c r="X196" s="48"/>
      <c r="Y196" s="281"/>
      <c r="Z196" s="48"/>
      <c r="AA196" s="178">
        <f t="shared" si="119"/>
        <v>0</v>
      </c>
      <c r="AB196" s="147"/>
      <c r="AC196" s="147">
        <v>0</v>
      </c>
      <c r="AD196" s="183"/>
      <c r="AE196" s="147"/>
      <c r="AF196" s="49"/>
      <c r="AG196" s="50"/>
      <c r="AH196" s="25"/>
    </row>
    <row r="197" spans="1:34" ht="16" x14ac:dyDescent="0.2">
      <c r="A197" s="32"/>
      <c r="B197" s="32"/>
      <c r="C197" s="32"/>
      <c r="D197" s="32"/>
      <c r="E197" s="32"/>
      <c r="F197" s="32"/>
      <c r="G197" s="129"/>
      <c r="H197" s="146"/>
      <c r="I197" s="147"/>
      <c r="J197" s="147"/>
      <c r="K197" s="147"/>
      <c r="L197" s="147"/>
      <c r="M197" s="147"/>
      <c r="N197" s="147"/>
      <c r="O197" s="147"/>
      <c r="P197" s="147"/>
      <c r="Q197" s="147"/>
      <c r="R197" s="147"/>
      <c r="S197" s="257"/>
      <c r="T197" s="229">
        <f>AC197/12</f>
        <v>0</v>
      </c>
      <c r="U197" s="147"/>
      <c r="V197" s="147"/>
      <c r="W197" s="148">
        <f t="shared" si="114"/>
        <v>0</v>
      </c>
      <c r="X197" s="48"/>
      <c r="Y197" s="281"/>
      <c r="Z197" s="48"/>
      <c r="AA197" s="178">
        <f t="shared" si="119"/>
        <v>0</v>
      </c>
      <c r="AB197" s="147"/>
      <c r="AC197" s="147">
        <v>0</v>
      </c>
      <c r="AD197" s="183"/>
      <c r="AE197" s="147"/>
      <c r="AF197" s="49"/>
      <c r="AG197" s="50"/>
      <c r="AH197" s="25"/>
    </row>
    <row r="198" spans="1:34" ht="16" x14ac:dyDescent="0.2">
      <c r="A198" s="32"/>
      <c r="B198" s="32"/>
      <c r="C198" s="32"/>
      <c r="D198" s="105" t="s">
        <v>243</v>
      </c>
      <c r="E198" s="105"/>
      <c r="F198" s="105"/>
      <c r="G198" s="131"/>
      <c r="H198" s="151">
        <f t="shared" ref="H198:S198" si="120">SUM(H195:H197)</f>
        <v>0</v>
      </c>
      <c r="I198" s="151">
        <f t="shared" si="120"/>
        <v>0</v>
      </c>
      <c r="J198" s="151">
        <f t="shared" si="120"/>
        <v>0</v>
      </c>
      <c r="K198" s="151">
        <f t="shared" si="120"/>
        <v>0</v>
      </c>
      <c r="L198" s="151">
        <f t="shared" si="120"/>
        <v>0</v>
      </c>
      <c r="M198" s="151">
        <f t="shared" si="120"/>
        <v>761.73</v>
      </c>
      <c r="N198" s="151">
        <f t="shared" si="120"/>
        <v>0</v>
      </c>
      <c r="O198" s="151">
        <f t="shared" si="120"/>
        <v>0</v>
      </c>
      <c r="P198" s="151">
        <f t="shared" si="120"/>
        <v>0</v>
      </c>
      <c r="Q198" s="151">
        <f t="shared" si="120"/>
        <v>0</v>
      </c>
      <c r="R198" s="151">
        <f t="shared" si="120"/>
        <v>0</v>
      </c>
      <c r="S198" s="151">
        <f t="shared" si="120"/>
        <v>0</v>
      </c>
      <c r="T198" s="229">
        <f>AC198/12</f>
        <v>0</v>
      </c>
      <c r="U198" s="151">
        <f>SUM(U195:U197)</f>
        <v>0</v>
      </c>
      <c r="V198" s="48"/>
      <c r="W198" s="148">
        <f t="shared" si="114"/>
        <v>761.73</v>
      </c>
      <c r="X198" s="48"/>
      <c r="Y198" s="48"/>
      <c r="Z198" s="48"/>
      <c r="AA198" s="178">
        <f t="shared" si="119"/>
        <v>0</v>
      </c>
      <c r="AB198" s="147"/>
      <c r="AC198" s="151">
        <f>SUM(AC195:AC197)</f>
        <v>0</v>
      </c>
      <c r="AD198" s="183"/>
      <c r="AE198" s="147"/>
      <c r="AF198" s="49"/>
      <c r="AG198" s="50"/>
      <c r="AH198" s="25"/>
    </row>
    <row r="199" spans="1:34" ht="29" customHeight="1" thickBot="1" x14ac:dyDescent="0.25">
      <c r="A199" s="32"/>
      <c r="B199" s="32"/>
      <c r="C199" s="32" t="s">
        <v>245</v>
      </c>
      <c r="D199" s="32"/>
      <c r="E199" s="32"/>
      <c r="F199" s="32"/>
      <c r="G199" s="129"/>
      <c r="H199" s="146">
        <f t="shared" ref="H199:U199" si="121">+H193+H198</f>
        <v>4454.42</v>
      </c>
      <c r="I199" s="146">
        <f t="shared" si="121"/>
        <v>7532.88</v>
      </c>
      <c r="J199" s="146">
        <f t="shared" si="121"/>
        <v>615.95000000000005</v>
      </c>
      <c r="K199" s="146">
        <f t="shared" si="121"/>
        <v>47.889999999999986</v>
      </c>
      <c r="L199" s="146">
        <f t="shared" si="121"/>
        <v>1910.17</v>
      </c>
      <c r="M199" s="146">
        <f t="shared" si="121"/>
        <v>1988.76</v>
      </c>
      <c r="N199" s="146">
        <f t="shared" si="121"/>
        <v>2145.23</v>
      </c>
      <c r="O199" s="146">
        <f t="shared" si="121"/>
        <v>0</v>
      </c>
      <c r="P199" s="146">
        <f t="shared" si="121"/>
        <v>0</v>
      </c>
      <c r="Q199" s="146">
        <f t="shared" si="121"/>
        <v>0</v>
      </c>
      <c r="R199" s="146">
        <f t="shared" si="121"/>
        <v>0</v>
      </c>
      <c r="S199" s="146">
        <f t="shared" si="121"/>
        <v>0</v>
      </c>
      <c r="T199" s="146">
        <f t="shared" si="121"/>
        <v>3999.166666666667</v>
      </c>
      <c r="U199" s="146">
        <f t="shared" si="121"/>
        <v>-10060.596666666668</v>
      </c>
      <c r="V199" s="147"/>
      <c r="W199" s="147">
        <f>SUM(W195:W197)+W193</f>
        <v>18695.3</v>
      </c>
      <c r="X199" s="48"/>
      <c r="Y199" s="197">
        <f t="shared" ref="Y199:Y202" si="122">W199/AC199</f>
        <v>0.38956657637007708</v>
      </c>
      <c r="Z199" s="48"/>
      <c r="AA199" s="178">
        <f t="shared" si="119"/>
        <v>27994.166666666664</v>
      </c>
      <c r="AB199" s="147">
        <f>SUM(AB174:AB185)+AB192</f>
        <v>0</v>
      </c>
      <c r="AC199" s="146">
        <f>+AC193+AC198</f>
        <v>47990</v>
      </c>
      <c r="AD199" s="183"/>
      <c r="AE199" s="147">
        <f>SUM(AE174:AE185)+AE192</f>
        <v>31106.429999999997</v>
      </c>
      <c r="AF199" s="49">
        <f t="shared" si="91"/>
        <v>-19995.833333333336</v>
      </c>
      <c r="AG199" s="50"/>
      <c r="AH199" s="25"/>
    </row>
    <row r="200" spans="1:34" ht="29" customHeight="1" thickTop="1" thickBot="1" x14ac:dyDescent="0.25">
      <c r="A200" s="32"/>
      <c r="B200" s="109" t="s">
        <v>167</v>
      </c>
      <c r="C200" s="109"/>
      <c r="D200" s="109"/>
      <c r="E200" s="109"/>
      <c r="F200" s="109"/>
      <c r="G200" s="140"/>
      <c r="H200" s="172">
        <f t="shared" ref="H200:N200" si="123">H199</f>
        <v>4454.42</v>
      </c>
      <c r="I200" s="173">
        <f t="shared" si="123"/>
        <v>7532.88</v>
      </c>
      <c r="J200" s="173">
        <f t="shared" si="123"/>
        <v>615.95000000000005</v>
      </c>
      <c r="K200" s="173">
        <f t="shared" si="123"/>
        <v>47.889999999999986</v>
      </c>
      <c r="L200" s="173">
        <f t="shared" si="123"/>
        <v>1910.17</v>
      </c>
      <c r="M200" s="173">
        <f t="shared" si="123"/>
        <v>1988.76</v>
      </c>
      <c r="N200" s="173">
        <f t="shared" si="123"/>
        <v>2145.23</v>
      </c>
      <c r="O200" s="173">
        <f t="shared" ref="O200:S200" si="124">O199</f>
        <v>0</v>
      </c>
      <c r="P200" s="173">
        <f t="shared" si="124"/>
        <v>0</v>
      </c>
      <c r="Q200" s="173">
        <f t="shared" si="124"/>
        <v>0</v>
      </c>
      <c r="R200" s="173">
        <f t="shared" si="124"/>
        <v>0</v>
      </c>
      <c r="S200" s="272">
        <f t="shared" si="124"/>
        <v>0</v>
      </c>
      <c r="T200" s="242">
        <f>AC200/12</f>
        <v>3999.1666666666665</v>
      </c>
      <c r="U200" s="173">
        <f>U199</f>
        <v>-10060.596666666668</v>
      </c>
      <c r="V200" s="173"/>
      <c r="W200" s="174">
        <f>W199</f>
        <v>18695.3</v>
      </c>
      <c r="X200" s="96"/>
      <c r="Y200" s="208">
        <f t="shared" si="122"/>
        <v>0.38956657637007708</v>
      </c>
      <c r="Z200" s="96"/>
      <c r="AA200" s="191">
        <f>AA199</f>
        <v>27994.166666666664</v>
      </c>
      <c r="AB200" s="173"/>
      <c r="AC200" s="173">
        <f>AC199</f>
        <v>47990</v>
      </c>
      <c r="AD200" s="193"/>
      <c r="AE200" s="173">
        <f>AE199</f>
        <v>31106.429999999997</v>
      </c>
      <c r="AF200" s="49">
        <f t="shared" si="91"/>
        <v>-19995.833333333336</v>
      </c>
      <c r="AG200" s="50"/>
      <c r="AH200" s="25"/>
    </row>
    <row r="201" spans="1:34" ht="29" customHeight="1" thickTop="1" thickBot="1" x14ac:dyDescent="0.25">
      <c r="A201" s="32"/>
      <c r="B201" s="32" t="s">
        <v>168</v>
      </c>
      <c r="C201" s="32"/>
      <c r="D201" s="32"/>
      <c r="E201" s="32"/>
      <c r="F201" s="32"/>
      <c r="G201" s="129"/>
      <c r="H201" s="157">
        <f>H171+H200</f>
        <v>234732.86000000002</v>
      </c>
      <c r="I201" s="155">
        <f t="shared" ref="I201:U201" si="125">I171+I200</f>
        <v>248478.56999999998</v>
      </c>
      <c r="J201" s="155">
        <f t="shared" si="125"/>
        <v>210049.07</v>
      </c>
      <c r="K201" s="155">
        <f t="shared" si="125"/>
        <v>339673.54000000004</v>
      </c>
      <c r="L201" s="155">
        <f t="shared" si="125"/>
        <v>164257.26</v>
      </c>
      <c r="M201" s="155">
        <f t="shared" si="125"/>
        <v>267946.75</v>
      </c>
      <c r="N201" s="155">
        <f t="shared" si="125"/>
        <v>176149.22</v>
      </c>
      <c r="O201" s="155">
        <f t="shared" ref="O201:S201" si="126">O171+O200</f>
        <v>0</v>
      </c>
      <c r="P201" s="155">
        <f t="shared" si="126"/>
        <v>0</v>
      </c>
      <c r="Q201" s="155">
        <f t="shared" si="126"/>
        <v>0</v>
      </c>
      <c r="R201" s="155">
        <f t="shared" si="126"/>
        <v>0</v>
      </c>
      <c r="S201" s="262">
        <f t="shared" si="126"/>
        <v>0</v>
      </c>
      <c r="T201" s="233">
        <f>T171+T200</f>
        <v>173185.41666666666</v>
      </c>
      <c r="U201" s="155">
        <f t="shared" si="125"/>
        <v>-10060.596666666668</v>
      </c>
      <c r="V201" s="155"/>
      <c r="W201" s="156">
        <f>W171+W200</f>
        <v>1641287.27</v>
      </c>
      <c r="X201" s="53"/>
      <c r="Y201" s="199">
        <f t="shared" si="122"/>
        <v>0.78975436730864079</v>
      </c>
      <c r="Z201" s="53"/>
      <c r="AA201" s="180">
        <f>AA171+AA200</f>
        <v>1212297.9166666667</v>
      </c>
      <c r="AB201" s="155"/>
      <c r="AC201" s="155">
        <f>AC171+AC200</f>
        <v>2078225</v>
      </c>
      <c r="AD201" s="187"/>
      <c r="AE201" s="155">
        <f>AE171+AE200</f>
        <v>961036.66999999981</v>
      </c>
      <c r="AF201" s="49">
        <f t="shared" si="91"/>
        <v>-865927.08333333326</v>
      </c>
      <c r="AG201" s="50"/>
      <c r="AH201" s="25"/>
    </row>
    <row r="202" spans="1:34" ht="29" customHeight="1" thickBot="1" x14ac:dyDescent="0.25">
      <c r="A202" s="32"/>
      <c r="B202" s="57" t="s">
        <v>169</v>
      </c>
      <c r="C202" s="57"/>
      <c r="D202" s="57"/>
      <c r="E202" s="57"/>
      <c r="F202" s="57"/>
      <c r="G202" s="134"/>
      <c r="H202" s="175">
        <f>SUM(H48-H201)</f>
        <v>102525.03</v>
      </c>
      <c r="I202" s="176">
        <f t="shared" ref="I202:N202" si="127">SUM(I7+I48-I201)</f>
        <v>88112.010000000097</v>
      </c>
      <c r="J202" s="176">
        <f t="shared" si="127"/>
        <v>118724.77000000002</v>
      </c>
      <c r="K202" s="176">
        <f t="shared" si="127"/>
        <v>22838.549999999988</v>
      </c>
      <c r="L202" s="176">
        <f t="shared" si="127"/>
        <v>188712.21999999997</v>
      </c>
      <c r="M202" s="176">
        <f t="shared" si="127"/>
        <v>63122.719999999972</v>
      </c>
      <c r="N202" s="176">
        <f t="shared" si="127"/>
        <v>155724.35</v>
      </c>
      <c r="O202" s="176">
        <f t="shared" ref="O202" si="128">SUM(O7+O48-O201)</f>
        <v>0</v>
      </c>
      <c r="P202" s="176">
        <f t="shared" ref="P202" si="129">SUM(P7+P48-P201)</f>
        <v>0</v>
      </c>
      <c r="Q202" s="176">
        <f t="shared" ref="Q202" si="130">SUM(Q7+Q48-Q201)</f>
        <v>0</v>
      </c>
      <c r="R202" s="176">
        <f t="shared" ref="R202" si="131">SUM(R7+R48-R201)</f>
        <v>0</v>
      </c>
      <c r="S202" s="273">
        <f t="shared" ref="S202" si="132">SUM(S7+S48-S201)</f>
        <v>0</v>
      </c>
      <c r="T202" s="243">
        <f>AC202/12</f>
        <v>157862.08333333334</v>
      </c>
      <c r="U202" s="176">
        <f>SUM(U7+U48-U201)</f>
        <v>73775.01666666659</v>
      </c>
      <c r="V202" s="176"/>
      <c r="W202" s="177">
        <f>SUM(W7+W48-W201)</f>
        <v>739759.64999999991</v>
      </c>
      <c r="X202" s="59"/>
      <c r="Y202" s="202">
        <f t="shared" si="122"/>
        <v>0.3905094636932554</v>
      </c>
      <c r="Z202" s="59"/>
      <c r="AA202" s="194">
        <f>SUM(AA7+AA48-AA201)</f>
        <v>1105034.5833333333</v>
      </c>
      <c r="AB202" s="176"/>
      <c r="AC202" s="195">
        <f>SUM(AC7+AC48-AC201)</f>
        <v>1894345</v>
      </c>
      <c r="AD202" s="196"/>
      <c r="AE202" s="162"/>
      <c r="AF202" s="49"/>
      <c r="AG202" s="50"/>
      <c r="AH202" s="25"/>
    </row>
    <row r="203" spans="1:34" s="18" customFormat="1" ht="29" customHeight="1" thickTop="1" x14ac:dyDescent="0.2">
      <c r="A203" s="32"/>
      <c r="B203" s="32"/>
      <c r="C203" s="32"/>
      <c r="D203" s="32"/>
      <c r="E203" s="32"/>
      <c r="F203" s="32"/>
      <c r="G203" s="32"/>
      <c r="H203" s="62"/>
      <c r="I203" s="62"/>
      <c r="J203" s="62"/>
      <c r="K203" s="62"/>
      <c r="L203" s="62"/>
      <c r="M203" s="62"/>
      <c r="N203" s="62"/>
      <c r="O203" s="62"/>
      <c r="P203" s="62"/>
      <c r="Q203" s="62"/>
      <c r="R203" s="62"/>
      <c r="S203" s="274"/>
      <c r="T203" s="244"/>
      <c r="U203" s="48"/>
      <c r="V203" s="62"/>
      <c r="W203" s="62"/>
      <c r="X203" s="62"/>
      <c r="Y203" s="197"/>
      <c r="Z203" s="62"/>
      <c r="AA203" s="62"/>
      <c r="AB203" s="62"/>
      <c r="AC203" s="77"/>
      <c r="AD203" s="62"/>
      <c r="AE203" s="72"/>
      <c r="AF203" s="49"/>
      <c r="AG203" s="63"/>
      <c r="AH203" s="22"/>
    </row>
    <row r="204" spans="1:34" ht="16" x14ac:dyDescent="0.2">
      <c r="A204" s="22"/>
      <c r="B204" s="22"/>
      <c r="C204" s="22"/>
      <c r="D204" s="22"/>
      <c r="E204" s="22"/>
      <c r="F204" s="22"/>
      <c r="G204" s="22"/>
      <c r="H204" s="73"/>
      <c r="I204" s="73"/>
      <c r="J204" s="73"/>
      <c r="K204" s="73"/>
      <c r="L204" s="73"/>
      <c r="M204" s="73"/>
      <c r="N204" s="73"/>
      <c r="O204" s="73"/>
      <c r="P204" s="73"/>
      <c r="Q204" s="73"/>
      <c r="R204" s="73"/>
      <c r="S204" s="275"/>
      <c r="T204" s="245"/>
      <c r="U204" s="73"/>
      <c r="V204" s="73"/>
      <c r="W204" s="73"/>
      <c r="X204" s="73"/>
      <c r="Y204" s="74"/>
      <c r="Z204" s="73"/>
      <c r="AA204" s="73"/>
      <c r="AB204" s="73"/>
      <c r="AC204" s="77"/>
      <c r="AD204" s="71"/>
      <c r="AE204" s="71"/>
      <c r="AF204" s="26"/>
      <c r="AG204" s="50"/>
      <c r="AH204" s="25"/>
    </row>
    <row r="205" spans="1:34" ht="16" x14ac:dyDescent="0.2">
      <c r="A205" s="22"/>
      <c r="B205" s="22"/>
      <c r="C205" s="22"/>
      <c r="D205" s="22"/>
      <c r="E205" s="22"/>
      <c r="F205" s="32"/>
      <c r="G205" s="22" t="s">
        <v>197</v>
      </c>
      <c r="H205" s="75">
        <f t="shared" ref="H205:S205" si="133">H26</f>
        <v>331819.69</v>
      </c>
      <c r="I205" s="75">
        <f t="shared" si="133"/>
        <v>330249.18000000005</v>
      </c>
      <c r="J205" s="75">
        <f t="shared" si="133"/>
        <v>326533.84000000003</v>
      </c>
      <c r="K205" s="75">
        <f t="shared" si="133"/>
        <v>356033.19</v>
      </c>
      <c r="L205" s="75">
        <f t="shared" si="133"/>
        <v>348484.48</v>
      </c>
      <c r="M205" s="75">
        <f t="shared" si="133"/>
        <v>326546.26999999996</v>
      </c>
      <c r="N205" s="75">
        <f t="shared" si="133"/>
        <v>326967.87</v>
      </c>
      <c r="O205" s="75">
        <f t="shared" si="133"/>
        <v>0</v>
      </c>
      <c r="P205" s="75">
        <f t="shared" si="133"/>
        <v>0</v>
      </c>
      <c r="Q205" s="75">
        <f t="shared" si="133"/>
        <v>0</v>
      </c>
      <c r="R205" s="75">
        <f t="shared" si="133"/>
        <v>0</v>
      </c>
      <c r="S205" s="276">
        <f t="shared" si="133"/>
        <v>0</v>
      </c>
      <c r="T205" s="246">
        <f>T47</f>
        <v>331047.5</v>
      </c>
      <c r="U205" s="75">
        <f>+U47</f>
        <v>63714.419999999925</v>
      </c>
      <c r="V205" s="64"/>
      <c r="W205" s="75">
        <f>+W26</f>
        <v>2346634.52</v>
      </c>
      <c r="X205" s="64"/>
      <c r="Y205" s="197">
        <f t="shared" ref="Y205" si="134">W205/AC205</f>
        <v>0.59070941984659808</v>
      </c>
      <c r="Z205" s="64"/>
      <c r="AA205" s="89">
        <f>AA47</f>
        <v>2317332.5</v>
      </c>
      <c r="AB205" s="89"/>
      <c r="AC205" s="89">
        <f>AC47</f>
        <v>3972570</v>
      </c>
      <c r="AD205" s="90"/>
      <c r="AE205" s="71"/>
      <c r="AF205" s="26"/>
      <c r="AG205" s="50"/>
      <c r="AH205" s="25"/>
    </row>
    <row r="206" spans="1:34" ht="16" x14ac:dyDescent="0.2">
      <c r="A206" s="22"/>
      <c r="B206" s="22"/>
      <c r="C206" s="22"/>
      <c r="D206" s="22"/>
      <c r="E206" s="22"/>
      <c r="F206" s="32"/>
      <c r="G206" s="101" t="s">
        <v>198</v>
      </c>
      <c r="H206" s="122"/>
      <c r="I206" s="122"/>
      <c r="J206" s="122"/>
      <c r="K206" s="122"/>
      <c r="L206" s="122"/>
      <c r="M206" s="122"/>
      <c r="N206" s="122"/>
      <c r="O206" s="122"/>
      <c r="P206" s="122"/>
      <c r="Q206" s="122"/>
      <c r="R206" s="122"/>
      <c r="S206" s="277"/>
      <c r="T206" s="247"/>
      <c r="U206" s="123"/>
      <c r="V206" s="123"/>
      <c r="W206" s="124"/>
      <c r="X206" s="123"/>
      <c r="Y206" s="94"/>
      <c r="Z206" s="123"/>
      <c r="AA206" s="125"/>
      <c r="AB206" s="125"/>
      <c r="AC206" s="125"/>
      <c r="AD206" s="126"/>
      <c r="AE206" s="127"/>
      <c r="AF206" s="26"/>
      <c r="AG206" s="50"/>
      <c r="AH206" s="25"/>
    </row>
    <row r="207" spans="1:34" ht="16" x14ac:dyDescent="0.2">
      <c r="A207" s="22"/>
      <c r="B207" s="22"/>
      <c r="C207" s="22"/>
      <c r="D207" s="22"/>
      <c r="E207" s="22"/>
      <c r="F207" s="32"/>
      <c r="G207" s="116" t="s">
        <v>204</v>
      </c>
      <c r="H207" s="87">
        <v>83750</v>
      </c>
      <c r="I207" s="87">
        <v>83750</v>
      </c>
      <c r="J207" s="87">
        <v>83750</v>
      </c>
      <c r="K207" s="87">
        <v>83750</v>
      </c>
      <c r="L207" s="87">
        <v>83750</v>
      </c>
      <c r="M207" s="87">
        <v>83750</v>
      </c>
      <c r="N207" s="87">
        <v>88750</v>
      </c>
      <c r="O207" s="87">
        <v>88750</v>
      </c>
      <c r="P207" s="87">
        <v>88750</v>
      </c>
      <c r="Q207" s="87">
        <v>88750</v>
      </c>
      <c r="R207" s="87">
        <v>88750</v>
      </c>
      <c r="S207" s="87">
        <v>83750</v>
      </c>
      <c r="T207" s="246"/>
      <c r="U207" s="64"/>
      <c r="V207" s="64"/>
      <c r="W207" s="66"/>
      <c r="X207" s="64"/>
      <c r="Y207" s="48"/>
      <c r="Z207" s="64"/>
      <c r="AA207" s="89"/>
      <c r="AB207" s="89"/>
      <c r="AC207" s="89"/>
      <c r="AD207" s="90"/>
      <c r="AE207" s="71"/>
      <c r="AF207" s="26"/>
      <c r="AG207" s="50"/>
      <c r="AH207" s="25"/>
    </row>
    <row r="208" spans="1:34" ht="16" x14ac:dyDescent="0.2">
      <c r="A208" s="22"/>
      <c r="B208" s="22"/>
      <c r="C208" s="22"/>
      <c r="D208" s="22"/>
      <c r="E208" s="22"/>
      <c r="F208" s="32"/>
      <c r="G208" s="116" t="s">
        <v>205</v>
      </c>
      <c r="H208" s="87">
        <v>16626.669999999998</v>
      </c>
      <c r="I208" s="87">
        <v>16626.669999999998</v>
      </c>
      <c r="J208" s="87">
        <v>16626.669999999998</v>
      </c>
      <c r="K208" s="87">
        <v>16626.669999999998</v>
      </c>
      <c r="L208" s="87">
        <v>16626.669999999998</v>
      </c>
      <c r="M208" s="87">
        <v>16626.669999999998</v>
      </c>
      <c r="N208" s="87">
        <v>13025.42</v>
      </c>
      <c r="O208" s="87">
        <v>13025.42</v>
      </c>
      <c r="P208" s="87">
        <v>13025.42</v>
      </c>
      <c r="Q208" s="87">
        <v>13025.42</v>
      </c>
      <c r="R208" s="87">
        <v>13025.42</v>
      </c>
      <c r="S208" s="87">
        <v>13025.42</v>
      </c>
      <c r="T208" s="246"/>
      <c r="U208" s="64"/>
      <c r="V208" s="64"/>
      <c r="W208" s="66"/>
      <c r="X208" s="64"/>
      <c r="Y208" s="48"/>
      <c r="Z208" s="64"/>
      <c r="AA208" s="89"/>
      <c r="AB208" s="89"/>
      <c r="AC208" s="66"/>
      <c r="AD208" s="90"/>
      <c r="AE208" s="71"/>
      <c r="AF208" s="26"/>
      <c r="AG208" s="50"/>
      <c r="AH208" s="25"/>
    </row>
    <row r="209" spans="1:34" ht="16" x14ac:dyDescent="0.2">
      <c r="A209" s="22"/>
      <c r="B209" s="22"/>
      <c r="C209" s="22"/>
      <c r="D209" s="22"/>
      <c r="E209" s="22"/>
      <c r="F209" s="22"/>
      <c r="G209" s="105" t="s">
        <v>206</v>
      </c>
      <c r="H209" s="117">
        <v>100377</v>
      </c>
      <c r="I209" s="117">
        <v>100377</v>
      </c>
      <c r="J209" s="117">
        <v>100377</v>
      </c>
      <c r="K209" s="117">
        <v>100377</v>
      </c>
      <c r="L209" s="117">
        <v>100377</v>
      </c>
      <c r="M209" s="117">
        <v>100377</v>
      </c>
      <c r="N209" s="117">
        <v>101775</v>
      </c>
      <c r="O209" s="117">
        <v>101775</v>
      </c>
      <c r="P209" s="117">
        <v>101775</v>
      </c>
      <c r="Q209" s="117">
        <v>101775</v>
      </c>
      <c r="R209" s="117">
        <v>101775</v>
      </c>
      <c r="S209" s="278">
        <v>101775</v>
      </c>
      <c r="T209" s="248"/>
      <c r="U209" s="118"/>
      <c r="V209" s="118"/>
      <c r="W209" s="119"/>
      <c r="X209" s="118"/>
      <c r="Y209" s="103"/>
      <c r="Z209" s="118"/>
      <c r="AA209" s="119"/>
      <c r="AB209" s="119"/>
      <c r="AC209" s="119"/>
      <c r="AD209" s="120"/>
      <c r="AE209" s="121"/>
      <c r="AF209" s="65"/>
      <c r="AG209" s="50"/>
      <c r="AH209" s="25"/>
    </row>
    <row r="210" spans="1:34" ht="16" x14ac:dyDescent="0.2">
      <c r="A210" s="22"/>
      <c r="B210" s="22"/>
      <c r="C210" s="22"/>
      <c r="D210" s="22"/>
      <c r="E210" s="22"/>
      <c r="F210" s="22"/>
      <c r="G210" s="66" t="s">
        <v>194</v>
      </c>
      <c r="H210" s="78">
        <f>H205/H209</f>
        <v>3.3057342817577733</v>
      </c>
      <c r="I210" s="78">
        <f>I205/I209</f>
        <v>3.290088167608118</v>
      </c>
      <c r="J210" s="78">
        <f t="shared" ref="J210:S210" si="135">J205/J209</f>
        <v>3.2530743098518586</v>
      </c>
      <c r="K210" s="78">
        <f>K205/K209</f>
        <v>3.5469598613228128</v>
      </c>
      <c r="L210" s="78">
        <f>L205/L209</f>
        <v>3.4717562788288152</v>
      </c>
      <c r="M210" s="78">
        <f>M205/M209</f>
        <v>3.2531981430008861</v>
      </c>
      <c r="N210" s="78">
        <f>N205/N209</f>
        <v>3.2126540899042002</v>
      </c>
      <c r="O210" s="78">
        <f>O205/O209</f>
        <v>0</v>
      </c>
      <c r="P210" s="78">
        <f t="shared" si="135"/>
        <v>0</v>
      </c>
      <c r="Q210" s="78">
        <f t="shared" si="135"/>
        <v>0</v>
      </c>
      <c r="R210" s="78">
        <f t="shared" si="135"/>
        <v>0</v>
      </c>
      <c r="S210" s="279">
        <f t="shared" si="135"/>
        <v>0</v>
      </c>
      <c r="T210" s="249"/>
      <c r="U210" s="78"/>
      <c r="V210" s="76"/>
      <c r="W210" s="78"/>
      <c r="X210" s="76"/>
      <c r="Y210" s="48"/>
      <c r="Z210" s="76"/>
      <c r="AA210" s="78"/>
      <c r="AB210" s="66"/>
      <c r="AC210" s="92"/>
      <c r="AD210" s="91"/>
      <c r="AE210" s="71"/>
      <c r="AF210" s="26"/>
      <c r="AG210" s="25"/>
      <c r="AH210" s="25"/>
    </row>
    <row r="211" spans="1:34" ht="16" x14ac:dyDescent="0.2">
      <c r="A211" s="22"/>
      <c r="B211" s="22"/>
      <c r="C211" s="22"/>
      <c r="D211" s="22"/>
      <c r="E211" s="22"/>
      <c r="F211" s="22"/>
      <c r="G211" s="22"/>
      <c r="H211" s="23"/>
      <c r="I211" s="23"/>
      <c r="J211" s="23"/>
      <c r="K211" s="23"/>
      <c r="L211" s="23"/>
      <c r="M211" s="23"/>
      <c r="N211" s="23"/>
      <c r="O211" s="23"/>
      <c r="P211" s="23"/>
      <c r="Q211" s="23"/>
      <c r="R211" s="23"/>
      <c r="S211" s="250"/>
      <c r="T211" s="23"/>
      <c r="U211" s="23"/>
      <c r="V211" s="23"/>
      <c r="W211" s="23"/>
      <c r="X211" s="23"/>
      <c r="Y211" s="24"/>
      <c r="Z211" s="23"/>
      <c r="AA211" s="23"/>
      <c r="AB211" s="23"/>
      <c r="AD211" s="25"/>
      <c r="AE211" s="25"/>
      <c r="AF211" s="26"/>
      <c r="AG211" s="25"/>
      <c r="AH211" s="25"/>
    </row>
    <row r="212" spans="1:34" ht="29" x14ac:dyDescent="0.2">
      <c r="G212" s="79" t="s">
        <v>182</v>
      </c>
      <c r="AC212" s="70"/>
    </row>
    <row r="213" spans="1:34" ht="72.75" customHeight="1" x14ac:dyDescent="0.2">
      <c r="G213" s="283" t="s">
        <v>238</v>
      </c>
      <c r="H213" s="283"/>
      <c r="I213" s="283"/>
      <c r="J213" s="283"/>
      <c r="K213" s="283"/>
      <c r="L213" s="283"/>
      <c r="M213" s="283"/>
      <c r="N213" s="283"/>
      <c r="O213" s="283"/>
      <c r="P213" s="283"/>
      <c r="Q213" s="283"/>
      <c r="R213" s="283"/>
      <c r="S213" s="283"/>
      <c r="T213" s="283"/>
      <c r="U213" s="283"/>
      <c r="V213" s="283"/>
      <c r="W213" s="283"/>
      <c r="X213" s="283"/>
      <c r="Y213" s="283"/>
      <c r="Z213" s="283"/>
      <c r="AA213" s="283"/>
      <c r="AB213" s="283"/>
      <c r="AC213" s="283"/>
    </row>
    <row r="214" spans="1:34" x14ac:dyDescent="0.2">
      <c r="AC214" s="70"/>
    </row>
    <row r="215" spans="1:34" x14ac:dyDescent="0.2">
      <c r="AC215" s="70"/>
    </row>
    <row r="216" spans="1:34" x14ac:dyDescent="0.2">
      <c r="AC216" s="70"/>
    </row>
    <row r="217" spans="1:34" x14ac:dyDescent="0.2">
      <c r="AC217" s="70"/>
    </row>
    <row r="218" spans="1:34" x14ac:dyDescent="0.2">
      <c r="AC218" s="70"/>
    </row>
    <row r="219" spans="1:34" x14ac:dyDescent="0.2">
      <c r="AC219" s="70"/>
    </row>
    <row r="220" spans="1:34" x14ac:dyDescent="0.2">
      <c r="AC220" s="70"/>
    </row>
    <row r="221" spans="1:34" x14ac:dyDescent="0.2">
      <c r="AC221" s="70"/>
    </row>
    <row r="222" spans="1:34" x14ac:dyDescent="0.2">
      <c r="AC222" s="70"/>
    </row>
    <row r="223" spans="1:34" x14ac:dyDescent="0.2">
      <c r="AC223" s="70"/>
    </row>
    <row r="224" spans="1:34" x14ac:dyDescent="0.2">
      <c r="AC224" s="70"/>
    </row>
    <row r="225" spans="29:29" x14ac:dyDescent="0.2">
      <c r="AC225" s="70"/>
    </row>
    <row r="226" spans="29:29" x14ac:dyDescent="0.2">
      <c r="AC226" s="70"/>
    </row>
    <row r="227" spans="29:29" x14ac:dyDescent="0.2">
      <c r="AC227" s="70"/>
    </row>
  </sheetData>
  <mergeCells count="1">
    <mergeCell ref="G213:AC213"/>
  </mergeCells>
  <phoneticPr fontId="22" type="noConversion"/>
  <printOptions gridLines="1"/>
  <pageMargins left="0.7" right="0.7" top="0.75" bottom="0.75" header="0.3" footer="0.3"/>
  <pageSetup paperSize="5" scale="61" fitToHeight="0" orientation="landscape" r:id="rId1"/>
  <headerFooter>
    <oddFooter>&amp;LPrepared by: R. Ching  &amp;T &amp;D &amp;C&amp;Z&amp;F&amp;R&amp;P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415C2-C9AF-4869-BD40-D1D02BB3AA68}">
  <dimension ref="A1:AI203"/>
  <sheetViews>
    <sheetView tabSelected="1" workbookViewId="0">
      <selection activeCell="A58" sqref="A1:XFD1048576"/>
    </sheetView>
  </sheetViews>
  <sheetFormatPr baseColWidth="10" defaultColWidth="8.83203125" defaultRowHeight="15" x14ac:dyDescent="0.2"/>
  <cols>
    <col min="1" max="1" width="5" customWidth="1"/>
    <col min="7" max="7" width="8.83203125" customWidth="1"/>
    <col min="8" max="8" width="11" customWidth="1"/>
    <col min="9" max="9" width="11.5" customWidth="1"/>
    <col min="10" max="10" width="12" customWidth="1"/>
    <col min="11" max="11" width="12.1640625" customWidth="1"/>
    <col min="12" max="12" width="11.33203125" customWidth="1"/>
    <col min="13" max="13" width="11.5" customWidth="1"/>
    <col min="14" max="14" width="12.5" customWidth="1"/>
    <col min="15" max="19" width="0" hidden="1" customWidth="1"/>
    <col min="20" max="20" width="12.6640625" customWidth="1"/>
    <col min="21" max="21" width="13.5" customWidth="1"/>
    <col min="23" max="23" width="13.33203125" customWidth="1"/>
    <col min="27" max="27" width="14.33203125" customWidth="1"/>
    <col min="29" max="29" width="14.1640625" customWidth="1"/>
    <col min="30" max="30" width="13" customWidth="1"/>
    <col min="31" max="31" width="12.5" customWidth="1"/>
  </cols>
  <sheetData>
    <row r="1" spans="1:35" ht="16" x14ac:dyDescent="0.2">
      <c r="A1" s="22"/>
      <c r="B1" s="22"/>
      <c r="C1" s="22"/>
      <c r="D1" s="22"/>
      <c r="E1" s="22"/>
      <c r="F1" s="22"/>
      <c r="G1" s="18"/>
      <c r="H1" s="23"/>
      <c r="I1" s="23"/>
      <c r="J1" s="23"/>
      <c r="K1" s="23"/>
      <c r="L1" s="23"/>
      <c r="M1" s="23"/>
      <c r="N1" s="23"/>
      <c r="O1" s="23"/>
      <c r="P1" s="23"/>
      <c r="Q1" s="23"/>
      <c r="R1" s="23"/>
      <c r="S1" s="250"/>
      <c r="T1" s="19"/>
      <c r="U1" s="19"/>
      <c r="V1" s="23"/>
      <c r="W1" s="23"/>
      <c r="X1" s="23"/>
      <c r="Y1" s="24"/>
      <c r="Z1" s="23"/>
      <c r="AA1" s="23"/>
      <c r="AB1" s="23"/>
      <c r="AC1" s="19"/>
      <c r="AD1" s="25"/>
      <c r="AE1" s="25"/>
    </row>
    <row r="2" spans="1:35" ht="16" x14ac:dyDescent="0.2">
      <c r="A2" s="22"/>
      <c r="B2" s="22"/>
      <c r="C2" s="22"/>
      <c r="D2" s="22"/>
      <c r="E2" s="22"/>
      <c r="F2" s="22"/>
      <c r="G2" s="18"/>
      <c r="H2" s="22" t="s">
        <v>239</v>
      </c>
      <c r="I2" s="22"/>
      <c r="J2" s="22"/>
      <c r="K2" s="22"/>
      <c r="L2" s="22"/>
      <c r="M2" s="22"/>
      <c r="N2" s="22"/>
      <c r="O2" s="22"/>
      <c r="P2" s="22"/>
      <c r="Q2" s="22"/>
      <c r="R2" s="22"/>
      <c r="S2" s="251"/>
      <c r="T2" s="23"/>
      <c r="U2" s="23"/>
      <c r="V2" s="23"/>
      <c r="W2" s="23"/>
      <c r="X2" s="23"/>
      <c r="Y2" s="24"/>
      <c r="Z2" s="23"/>
      <c r="AA2" s="23"/>
      <c r="AB2" s="23"/>
      <c r="AC2" s="19"/>
      <c r="AD2" s="25"/>
      <c r="AE2" s="25"/>
    </row>
    <row r="3" spans="1:35" ht="16" x14ac:dyDescent="0.2">
      <c r="A3" s="22"/>
      <c r="B3" s="22"/>
      <c r="C3" s="22"/>
      <c r="D3" s="22"/>
      <c r="E3" s="22"/>
      <c r="F3" s="22"/>
      <c r="G3" s="22"/>
      <c r="H3" s="23"/>
      <c r="I3" s="23"/>
      <c r="J3" s="23"/>
      <c r="K3" s="23"/>
      <c r="L3" s="23"/>
      <c r="M3" s="23"/>
      <c r="N3" s="23"/>
      <c r="O3" s="23"/>
      <c r="P3" s="23"/>
      <c r="Q3" s="23"/>
      <c r="R3" s="23"/>
      <c r="S3" s="250"/>
      <c r="T3" s="23"/>
      <c r="U3" s="23"/>
      <c r="V3" s="23"/>
      <c r="W3" s="23"/>
      <c r="X3" s="23"/>
      <c r="Y3" s="24"/>
      <c r="Z3" s="23"/>
      <c r="AA3" s="23"/>
      <c r="AB3" s="23"/>
      <c r="AC3" s="19"/>
      <c r="AD3" s="25"/>
      <c r="AE3" s="25"/>
    </row>
    <row r="4" spans="1:35" ht="17" thickBot="1" x14ac:dyDescent="0.25">
      <c r="A4" s="27"/>
      <c r="B4" s="27"/>
      <c r="C4" s="27"/>
      <c r="D4" s="27"/>
      <c r="E4" s="27"/>
      <c r="F4" s="27"/>
      <c r="G4" s="27"/>
      <c r="H4" s="28"/>
      <c r="I4" s="28"/>
      <c r="J4" s="28"/>
      <c r="K4" s="28"/>
      <c r="L4" s="28"/>
      <c r="M4" s="28"/>
      <c r="N4" s="28"/>
      <c r="O4" s="28"/>
      <c r="P4" s="28"/>
      <c r="Q4" s="28"/>
      <c r="R4" s="28"/>
      <c r="S4" s="252"/>
      <c r="T4" s="28"/>
      <c r="U4" s="28"/>
      <c r="V4" s="28"/>
      <c r="W4" s="28"/>
      <c r="X4" s="28"/>
      <c r="Y4" s="29"/>
      <c r="Z4" s="28"/>
      <c r="AA4" s="28"/>
      <c r="AB4" s="28"/>
      <c r="AC4" s="67"/>
      <c r="AD4" s="30"/>
      <c r="AE4" s="30"/>
    </row>
    <row r="5" spans="1:35" ht="16" x14ac:dyDescent="0.2">
      <c r="A5" s="32"/>
      <c r="B5" s="32"/>
      <c r="C5" s="32"/>
      <c r="D5" s="32"/>
      <c r="E5" s="32"/>
      <c r="F5" s="32"/>
      <c r="G5" s="32"/>
      <c r="H5" s="33" t="s">
        <v>2</v>
      </c>
      <c r="I5" s="33" t="s">
        <v>2</v>
      </c>
      <c r="J5" s="33" t="s">
        <v>2</v>
      </c>
      <c r="K5" s="33" t="s">
        <v>2</v>
      </c>
      <c r="L5" s="33" t="s">
        <v>2</v>
      </c>
      <c r="M5" s="33" t="s">
        <v>2</v>
      </c>
      <c r="N5" s="33" t="s">
        <v>2</v>
      </c>
      <c r="O5" s="33" t="s">
        <v>2</v>
      </c>
      <c r="P5" s="33" t="s">
        <v>2</v>
      </c>
      <c r="Q5" s="33" t="s">
        <v>2</v>
      </c>
      <c r="R5" s="33" t="s">
        <v>2</v>
      </c>
      <c r="S5" s="253" t="s">
        <v>2</v>
      </c>
      <c r="T5" s="226" t="s">
        <v>209</v>
      </c>
      <c r="U5" s="33" t="s">
        <v>4</v>
      </c>
      <c r="V5" s="34"/>
      <c r="W5" s="80" t="s">
        <v>5</v>
      </c>
      <c r="X5" s="33"/>
      <c r="Y5" s="35" t="s">
        <v>186</v>
      </c>
      <c r="Z5" s="34"/>
      <c r="AA5" s="83" t="s">
        <v>6</v>
      </c>
      <c r="AB5" s="34"/>
      <c r="AC5" s="68" t="s">
        <v>210</v>
      </c>
      <c r="AD5" s="36"/>
      <c r="AE5" s="36" t="s">
        <v>7</v>
      </c>
      <c r="AI5" s="282">
        <v>7</v>
      </c>
    </row>
    <row r="6" spans="1:35" ht="17" thickBot="1" x14ac:dyDescent="0.25">
      <c r="A6" s="38"/>
      <c r="B6" s="38"/>
      <c r="C6" s="38"/>
      <c r="D6" s="38"/>
      <c r="E6" s="38"/>
      <c r="F6" s="38"/>
      <c r="G6" s="38"/>
      <c r="H6" s="39" t="s">
        <v>225</v>
      </c>
      <c r="I6" s="39" t="s">
        <v>226</v>
      </c>
      <c r="J6" s="39" t="s">
        <v>227</v>
      </c>
      <c r="K6" s="39" t="s">
        <v>228</v>
      </c>
      <c r="L6" s="39" t="s">
        <v>229</v>
      </c>
      <c r="M6" s="39" t="s">
        <v>230</v>
      </c>
      <c r="N6" s="86" t="s">
        <v>231</v>
      </c>
      <c r="O6" s="86" t="s">
        <v>232</v>
      </c>
      <c r="P6" s="86" t="s">
        <v>233</v>
      </c>
      <c r="Q6" s="86" t="s">
        <v>234</v>
      </c>
      <c r="R6" s="86" t="s">
        <v>235</v>
      </c>
      <c r="S6" s="254" t="s">
        <v>236</v>
      </c>
      <c r="T6" s="227" t="s">
        <v>208</v>
      </c>
      <c r="U6" s="41" t="s">
        <v>190</v>
      </c>
      <c r="V6" s="40"/>
      <c r="W6" s="81" t="s">
        <v>237</v>
      </c>
      <c r="X6" s="41"/>
      <c r="Y6" s="42"/>
      <c r="Z6" s="40"/>
      <c r="AA6" s="84" t="s">
        <v>3</v>
      </c>
      <c r="AB6" s="40"/>
      <c r="AC6" s="69" t="s">
        <v>224</v>
      </c>
      <c r="AD6" s="43"/>
      <c r="AE6" s="43"/>
    </row>
    <row r="7" spans="1:35" ht="16" x14ac:dyDescent="0.2">
      <c r="A7" s="32"/>
      <c r="B7" s="32" t="s">
        <v>8</v>
      </c>
      <c r="C7" s="32"/>
      <c r="D7" s="32"/>
      <c r="E7" s="32"/>
      <c r="F7" s="32"/>
      <c r="G7" s="128"/>
      <c r="H7" s="141"/>
      <c r="I7" s="45"/>
      <c r="J7" s="45"/>
      <c r="K7" s="45"/>
      <c r="L7" s="45"/>
      <c r="M7" s="45"/>
      <c r="N7" s="45"/>
      <c r="O7" s="45"/>
      <c r="P7" s="45"/>
      <c r="Q7" s="45"/>
      <c r="R7" s="45"/>
      <c r="S7" s="255"/>
      <c r="T7" s="228"/>
      <c r="U7" s="45"/>
      <c r="V7" s="45"/>
      <c r="W7" s="45"/>
      <c r="X7" s="45"/>
      <c r="Y7" s="197"/>
      <c r="Z7" s="45"/>
      <c r="AA7" s="45"/>
      <c r="AB7" s="45"/>
      <c r="AC7" s="45"/>
      <c r="AD7" s="71"/>
      <c r="AE7" s="71"/>
    </row>
    <row r="8" spans="1:35" ht="16" x14ac:dyDescent="0.2">
      <c r="A8" s="32"/>
      <c r="B8" s="32" t="s">
        <v>9</v>
      </c>
      <c r="C8" s="32"/>
      <c r="D8" s="32"/>
      <c r="E8" s="32"/>
      <c r="F8" s="32"/>
      <c r="G8" s="129"/>
      <c r="H8" s="142"/>
      <c r="I8" s="45"/>
      <c r="J8" s="45"/>
      <c r="K8" s="45"/>
      <c r="L8" s="45"/>
      <c r="M8" s="45"/>
      <c r="N8" s="45"/>
      <c r="O8" s="45"/>
      <c r="P8" s="45"/>
      <c r="Q8" s="45"/>
      <c r="R8" s="45"/>
      <c r="S8" s="255"/>
      <c r="T8" s="228"/>
      <c r="U8" s="45"/>
      <c r="V8" s="45"/>
      <c r="W8" s="45"/>
      <c r="X8" s="45"/>
      <c r="Y8" s="197"/>
      <c r="Z8" s="45"/>
      <c r="AA8" s="45"/>
      <c r="AB8" s="45"/>
      <c r="AC8" s="45"/>
      <c r="AD8" s="71"/>
      <c r="AE8" s="71"/>
    </row>
    <row r="9" spans="1:35" ht="16" x14ac:dyDescent="0.2">
      <c r="A9" s="32"/>
      <c r="B9" s="32" t="s">
        <v>10</v>
      </c>
      <c r="C9" s="32"/>
      <c r="D9" s="32"/>
      <c r="E9" s="32"/>
      <c r="F9" s="32"/>
      <c r="G9" s="129"/>
      <c r="H9" s="142"/>
      <c r="I9" s="45"/>
      <c r="J9" s="45"/>
      <c r="K9" s="45"/>
      <c r="L9" s="45"/>
      <c r="M9" s="45"/>
      <c r="N9" s="45"/>
      <c r="O9" s="45"/>
      <c r="P9" s="45"/>
      <c r="Q9" s="45"/>
      <c r="R9" s="45"/>
      <c r="S9" s="255"/>
      <c r="T9" s="228"/>
      <c r="U9" s="45"/>
      <c r="V9" s="45"/>
      <c r="W9" s="45"/>
      <c r="X9" s="45"/>
      <c r="Y9" s="197"/>
      <c r="Z9" s="45"/>
      <c r="AA9" s="45"/>
      <c r="AB9" s="45"/>
      <c r="AC9" s="45"/>
      <c r="AD9" s="71"/>
      <c r="AE9" s="71"/>
    </row>
    <row r="10" spans="1:35" ht="16" x14ac:dyDescent="0.2">
      <c r="A10" s="210"/>
      <c r="B10" s="210"/>
      <c r="C10" s="210" t="s">
        <v>218</v>
      </c>
      <c r="D10" s="210"/>
      <c r="E10" s="210"/>
      <c r="F10" s="210"/>
      <c r="G10" s="211"/>
      <c r="H10" s="223"/>
      <c r="I10" s="221">
        <v>1634.14</v>
      </c>
      <c r="J10" s="220">
        <v>817.07</v>
      </c>
      <c r="K10" s="221">
        <v>833.41</v>
      </c>
      <c r="L10" s="221">
        <v>833.41</v>
      </c>
      <c r="M10" s="221"/>
      <c r="N10" s="221">
        <v>833.41</v>
      </c>
      <c r="O10" s="212"/>
      <c r="P10" s="212"/>
      <c r="Q10" s="212"/>
      <c r="R10" s="212"/>
      <c r="S10" s="256"/>
      <c r="T10" s="229">
        <f>AC10/12</f>
        <v>816.66666666666663</v>
      </c>
      <c r="U10" s="147">
        <f>W10-AA10</f>
        <v>-765.22666666666646</v>
      </c>
      <c r="V10" s="212"/>
      <c r="W10" s="222">
        <f t="shared" ref="W10:W19" si="0">SUM(H10:S10)</f>
        <v>4951.4399999999996</v>
      </c>
      <c r="X10" s="212"/>
      <c r="Y10" s="197">
        <f>W10/AC10</f>
        <v>0.50524897959183668</v>
      </c>
      <c r="Z10" s="212"/>
      <c r="AA10" s="178">
        <f>AC10/12*$AI$5</f>
        <v>5716.6666666666661</v>
      </c>
      <c r="AB10" s="212"/>
      <c r="AC10" s="221">
        <v>9800</v>
      </c>
      <c r="AD10" s="213"/>
      <c r="AE10" s="213"/>
    </row>
    <row r="11" spans="1:35" ht="16" x14ac:dyDescent="0.2">
      <c r="A11" s="32"/>
      <c r="B11" s="32"/>
      <c r="C11" s="32" t="s">
        <v>181</v>
      </c>
      <c r="D11" s="32"/>
      <c r="E11" s="32"/>
      <c r="F11" s="32"/>
      <c r="G11" s="129"/>
      <c r="H11" s="146">
        <v>289542</v>
      </c>
      <c r="I11" s="147">
        <v>289146</v>
      </c>
      <c r="J11" s="147">
        <v>289146</v>
      </c>
      <c r="K11" s="147">
        <v>289290</v>
      </c>
      <c r="L11" s="147">
        <v>289146</v>
      </c>
      <c r="M11" s="147">
        <v>289146</v>
      </c>
      <c r="N11" s="147">
        <v>286902</v>
      </c>
      <c r="O11" s="147"/>
      <c r="P11" s="147"/>
      <c r="Q11" s="147"/>
      <c r="R11" s="147"/>
      <c r="S11" s="257"/>
      <c r="T11" s="229">
        <f>AC11/12</f>
        <v>287100</v>
      </c>
      <c r="U11" s="147">
        <f>W11-AA11</f>
        <v>12618</v>
      </c>
      <c r="V11" s="147"/>
      <c r="W11" s="148">
        <f t="shared" si="0"/>
        <v>2022318</v>
      </c>
      <c r="X11" s="48"/>
      <c r="Y11" s="197">
        <f>W11/AC11</f>
        <v>0.58699582027168229</v>
      </c>
      <c r="Z11" s="48"/>
      <c r="AA11" s="178">
        <f>AC11/12*$AI$5</f>
        <v>2009700</v>
      </c>
      <c r="AB11" s="147"/>
      <c r="AC11" s="147">
        <v>3445200</v>
      </c>
      <c r="AD11" s="72"/>
      <c r="AE11" s="72"/>
    </row>
    <row r="12" spans="1:35" ht="16" x14ac:dyDescent="0.2">
      <c r="A12" s="32"/>
      <c r="B12" s="32"/>
      <c r="C12" s="32" t="s">
        <v>189</v>
      </c>
      <c r="D12" s="32"/>
      <c r="E12" s="32"/>
      <c r="F12" s="32"/>
      <c r="G12" s="129"/>
      <c r="H12" s="146"/>
      <c r="I12" s="147"/>
      <c r="J12" s="147"/>
      <c r="K12" s="147">
        <v>660</v>
      </c>
      <c r="L12" s="147">
        <v>327</v>
      </c>
      <c r="M12" s="147">
        <v>348</v>
      </c>
      <c r="N12" s="147"/>
      <c r="O12" s="147"/>
      <c r="P12" s="147"/>
      <c r="Q12" s="147"/>
      <c r="R12" s="147"/>
      <c r="S12" s="257"/>
      <c r="T12" s="229">
        <f>AC12/12</f>
        <v>208.33333333333334</v>
      </c>
      <c r="U12" s="147">
        <f t="shared" ref="U12:U71" si="1">W12-AA12</f>
        <v>-123.33333333333348</v>
      </c>
      <c r="V12" s="147"/>
      <c r="W12" s="148">
        <f t="shared" si="0"/>
        <v>1335</v>
      </c>
      <c r="X12" s="48"/>
      <c r="Y12" s="197">
        <f t="shared" ref="Y12:Y40" si="2">W12/AC12</f>
        <v>0.53400000000000003</v>
      </c>
      <c r="Z12" s="48"/>
      <c r="AA12" s="178">
        <f t="shared" ref="AA12:AA22" si="3">AC12/12*$AI$5</f>
        <v>1458.3333333333335</v>
      </c>
      <c r="AB12" s="147"/>
      <c r="AC12" s="147">
        <v>2500</v>
      </c>
      <c r="AD12" s="72"/>
      <c r="AE12" s="72"/>
    </row>
    <row r="13" spans="1:35" ht="16" x14ac:dyDescent="0.2">
      <c r="A13" s="32"/>
      <c r="B13" s="32"/>
      <c r="C13" s="32" t="s">
        <v>12</v>
      </c>
      <c r="D13" s="32"/>
      <c r="E13" s="32"/>
      <c r="F13" s="32"/>
      <c r="G13" s="129"/>
      <c r="H13" s="146">
        <v>17461.53</v>
      </c>
      <c r="I13" s="147">
        <v>17027.53</v>
      </c>
      <c r="J13" s="147">
        <v>16011.14</v>
      </c>
      <c r="K13" s="147">
        <v>16246.5</v>
      </c>
      <c r="L13" s="147">
        <v>15596.03</v>
      </c>
      <c r="M13" s="147">
        <v>14662.41</v>
      </c>
      <c r="N13" s="147">
        <v>14673.15</v>
      </c>
      <c r="O13" s="147"/>
      <c r="P13" s="147"/>
      <c r="Q13" s="147"/>
      <c r="R13" s="147"/>
      <c r="S13" s="257"/>
      <c r="T13" s="229">
        <f t="shared" ref="T13:T62" si="4">AC13/12</f>
        <v>10000</v>
      </c>
      <c r="U13" s="147">
        <f t="shared" si="1"/>
        <v>41678.289999999994</v>
      </c>
      <c r="V13" s="147"/>
      <c r="W13" s="148">
        <f t="shared" si="0"/>
        <v>111678.29</v>
      </c>
      <c r="X13" s="48"/>
      <c r="Y13" s="197">
        <f t="shared" si="2"/>
        <v>0.93065241666666665</v>
      </c>
      <c r="Z13" s="48"/>
      <c r="AA13" s="178">
        <f t="shared" si="3"/>
        <v>70000</v>
      </c>
      <c r="AB13" s="147"/>
      <c r="AC13" s="147">
        <v>120000</v>
      </c>
      <c r="AD13" s="72"/>
      <c r="AE13" s="72"/>
    </row>
    <row r="14" spans="1:35" ht="16" x14ac:dyDescent="0.2">
      <c r="A14" s="32"/>
      <c r="B14" s="32"/>
      <c r="C14" s="32" t="s">
        <v>195</v>
      </c>
      <c r="D14" s="32"/>
      <c r="E14" s="32"/>
      <c r="F14" s="32"/>
      <c r="G14" s="129"/>
      <c r="H14" s="146">
        <v>105</v>
      </c>
      <c r="I14" s="147">
        <v>35</v>
      </c>
      <c r="J14" s="147"/>
      <c r="K14" s="147"/>
      <c r="L14" s="147"/>
      <c r="M14" s="147"/>
      <c r="N14" s="147"/>
      <c r="O14" s="147"/>
      <c r="P14" s="147"/>
      <c r="Q14" s="147"/>
      <c r="R14" s="147"/>
      <c r="S14" s="257"/>
      <c r="T14" s="229">
        <v>250</v>
      </c>
      <c r="U14" s="147">
        <f t="shared" si="1"/>
        <v>81.666666666666657</v>
      </c>
      <c r="V14" s="147"/>
      <c r="W14" s="148">
        <f t="shared" si="0"/>
        <v>140</v>
      </c>
      <c r="X14" s="48"/>
      <c r="Y14" s="197">
        <f t="shared" si="2"/>
        <v>1.4</v>
      </c>
      <c r="Z14" s="48"/>
      <c r="AA14" s="178">
        <f t="shared" si="3"/>
        <v>58.333333333333336</v>
      </c>
      <c r="AB14" s="147"/>
      <c r="AC14" s="147">
        <v>100</v>
      </c>
      <c r="AD14" s="72"/>
      <c r="AE14" s="72"/>
    </row>
    <row r="15" spans="1:35" ht="16" x14ac:dyDescent="0.2">
      <c r="A15" s="32"/>
      <c r="B15" s="32"/>
      <c r="C15" s="32" t="s">
        <v>14</v>
      </c>
      <c r="D15" s="32"/>
      <c r="E15" s="32"/>
      <c r="F15" s="32"/>
      <c r="G15" s="129"/>
      <c r="H15" s="146"/>
      <c r="I15" s="147"/>
      <c r="J15" s="147"/>
      <c r="K15" s="147">
        <v>18200</v>
      </c>
      <c r="L15" s="147">
        <v>15800</v>
      </c>
      <c r="M15" s="147"/>
      <c r="N15" s="147"/>
      <c r="O15" s="147"/>
      <c r="P15" s="147"/>
      <c r="Q15" s="147"/>
      <c r="R15" s="147"/>
      <c r="S15" s="257"/>
      <c r="T15" s="229">
        <f t="shared" si="4"/>
        <v>2916.6666666666665</v>
      </c>
      <c r="U15" s="147">
        <f t="shared" si="1"/>
        <v>13583.333333333336</v>
      </c>
      <c r="V15" s="147"/>
      <c r="W15" s="148">
        <f t="shared" si="0"/>
        <v>34000</v>
      </c>
      <c r="X15" s="48"/>
      <c r="Y15" s="197">
        <f t="shared" si="2"/>
        <v>0.97142857142857142</v>
      </c>
      <c r="Z15" s="48"/>
      <c r="AA15" s="178">
        <f t="shared" si="3"/>
        <v>20416.666666666664</v>
      </c>
      <c r="AB15" s="147"/>
      <c r="AC15" s="147">
        <v>35000</v>
      </c>
      <c r="AD15" s="72"/>
      <c r="AE15" s="72"/>
    </row>
    <row r="16" spans="1:35" ht="16" x14ac:dyDescent="0.2">
      <c r="A16" s="32"/>
      <c r="B16" s="32"/>
      <c r="C16" s="32" t="s">
        <v>16</v>
      </c>
      <c r="D16" s="32"/>
      <c r="E16" s="32"/>
      <c r="F16" s="32"/>
      <c r="G16" s="129"/>
      <c r="H16" s="146"/>
      <c r="I16" s="147"/>
      <c r="J16" s="147"/>
      <c r="K16" s="147"/>
      <c r="L16" s="147"/>
      <c r="M16" s="147"/>
      <c r="N16" s="147"/>
      <c r="O16" s="147"/>
      <c r="P16" s="147"/>
      <c r="Q16" s="147"/>
      <c r="R16" s="147"/>
      <c r="S16" s="257"/>
      <c r="T16" s="229">
        <f t="shared" si="4"/>
        <v>8.3333333333333339</v>
      </c>
      <c r="U16" s="147">
        <f t="shared" si="1"/>
        <v>-58.333333333333336</v>
      </c>
      <c r="V16" s="147"/>
      <c r="W16" s="148">
        <f t="shared" si="0"/>
        <v>0</v>
      </c>
      <c r="X16" s="48"/>
      <c r="Y16" s="197">
        <f t="shared" si="2"/>
        <v>0</v>
      </c>
      <c r="Z16" s="48"/>
      <c r="AA16" s="178">
        <f t="shared" si="3"/>
        <v>58.333333333333336</v>
      </c>
      <c r="AB16" s="147"/>
      <c r="AC16" s="147">
        <v>100</v>
      </c>
      <c r="AD16" s="72"/>
      <c r="AE16" s="72"/>
    </row>
    <row r="17" spans="1:31" ht="16" x14ac:dyDescent="0.2">
      <c r="A17" s="32"/>
      <c r="B17" s="32"/>
      <c r="C17" s="32" t="s">
        <v>20</v>
      </c>
      <c r="D17" s="32"/>
      <c r="E17" s="32"/>
      <c r="F17" s="32"/>
      <c r="G17" s="129"/>
      <c r="H17" s="146"/>
      <c r="I17" s="147"/>
      <c r="J17" s="147"/>
      <c r="K17" s="147"/>
      <c r="L17" s="147"/>
      <c r="M17" s="147"/>
      <c r="N17" s="147"/>
      <c r="O17" s="147"/>
      <c r="P17" s="147"/>
      <c r="Q17" s="147"/>
      <c r="R17" s="147"/>
      <c r="S17" s="257"/>
      <c r="T17" s="229">
        <f t="shared" si="4"/>
        <v>16.666666666666668</v>
      </c>
      <c r="U17" s="147">
        <f t="shared" si="1"/>
        <v>-116.66666666666667</v>
      </c>
      <c r="V17" s="147"/>
      <c r="W17" s="148">
        <f t="shared" si="0"/>
        <v>0</v>
      </c>
      <c r="X17" s="48"/>
      <c r="Y17" s="197">
        <f t="shared" si="2"/>
        <v>0</v>
      </c>
      <c r="Z17" s="48"/>
      <c r="AA17" s="178">
        <f t="shared" si="3"/>
        <v>116.66666666666667</v>
      </c>
      <c r="AB17" s="147"/>
      <c r="AC17" s="147">
        <v>200</v>
      </c>
      <c r="AD17" s="72"/>
      <c r="AE17" s="72"/>
    </row>
    <row r="18" spans="1:31" ht="16" x14ac:dyDescent="0.2">
      <c r="A18" s="32"/>
      <c r="B18" s="32"/>
      <c r="C18" s="32" t="s">
        <v>22</v>
      </c>
      <c r="D18" s="32"/>
      <c r="E18" s="32"/>
      <c r="F18" s="32"/>
      <c r="G18" s="129"/>
      <c r="H18" s="146"/>
      <c r="I18" s="147"/>
      <c r="J18" s="147"/>
      <c r="K18" s="147"/>
      <c r="L18" s="147"/>
      <c r="M18" s="147"/>
      <c r="N18" s="147"/>
      <c r="O18" s="147"/>
      <c r="P18" s="147"/>
      <c r="Q18" s="147"/>
      <c r="R18" s="147"/>
      <c r="S18" s="257"/>
      <c r="T18" s="229"/>
      <c r="U18" s="147"/>
      <c r="V18" s="147"/>
      <c r="W18" s="148">
        <f t="shared" si="0"/>
        <v>0</v>
      </c>
      <c r="X18" s="48"/>
      <c r="Y18" s="197" t="e">
        <f t="shared" si="2"/>
        <v>#DIV/0!</v>
      </c>
      <c r="Z18" s="48"/>
      <c r="AA18" s="178">
        <f t="shared" si="3"/>
        <v>0</v>
      </c>
      <c r="AB18" s="147"/>
      <c r="AC18" s="147"/>
      <c r="AD18" s="72"/>
      <c r="AE18" s="72"/>
    </row>
    <row r="19" spans="1:31" ht="16" x14ac:dyDescent="0.2">
      <c r="A19" s="32"/>
      <c r="B19" s="32"/>
      <c r="C19" s="32" t="s">
        <v>23</v>
      </c>
      <c r="D19" s="32"/>
      <c r="E19" s="32"/>
      <c r="F19" s="32"/>
      <c r="G19" s="129"/>
      <c r="H19" s="146">
        <v>18900</v>
      </c>
      <c r="I19" s="147">
        <v>13500</v>
      </c>
      <c r="J19" s="147">
        <v>11100</v>
      </c>
      <c r="K19" s="147">
        <v>17100</v>
      </c>
      <c r="L19" s="147">
        <v>12300</v>
      </c>
      <c r="M19" s="147">
        <v>7800</v>
      </c>
      <c r="N19" s="147">
        <v>11700</v>
      </c>
      <c r="O19" s="147"/>
      <c r="P19" s="147"/>
      <c r="Q19" s="147"/>
      <c r="R19" s="147"/>
      <c r="S19" s="257"/>
      <c r="T19" s="229">
        <f t="shared" si="4"/>
        <v>11666.666666666666</v>
      </c>
      <c r="U19" s="147">
        <f t="shared" si="1"/>
        <v>10733.333333333343</v>
      </c>
      <c r="V19" s="147"/>
      <c r="W19" s="148">
        <f t="shared" si="0"/>
        <v>92400</v>
      </c>
      <c r="X19" s="48"/>
      <c r="Y19" s="197">
        <f t="shared" si="2"/>
        <v>0.66</v>
      </c>
      <c r="Z19" s="48"/>
      <c r="AA19" s="178">
        <f t="shared" si="3"/>
        <v>81666.666666666657</v>
      </c>
      <c r="AB19" s="147"/>
      <c r="AC19" s="147">
        <v>140000</v>
      </c>
      <c r="AD19" s="72"/>
      <c r="AE19" s="72"/>
    </row>
    <row r="20" spans="1:31" ht="16" x14ac:dyDescent="0.2">
      <c r="A20" s="32"/>
      <c r="B20" s="32"/>
      <c r="C20" s="93" t="s">
        <v>26</v>
      </c>
      <c r="D20" s="93"/>
      <c r="E20" s="93"/>
      <c r="F20" s="93"/>
      <c r="G20" s="130"/>
      <c r="H20" s="149"/>
      <c r="I20" s="150"/>
      <c r="J20" s="150"/>
      <c r="K20" s="150"/>
      <c r="L20" s="150"/>
      <c r="M20" s="150"/>
      <c r="N20" s="150"/>
      <c r="O20" s="150"/>
      <c r="P20" s="150"/>
      <c r="Q20" s="150"/>
      <c r="R20" s="150"/>
      <c r="S20" s="258"/>
      <c r="T20" s="230" t="s">
        <v>178</v>
      </c>
      <c r="U20" s="150" t="s">
        <v>178</v>
      </c>
      <c r="V20" s="150"/>
      <c r="W20" s="150"/>
      <c r="X20" s="94"/>
      <c r="Y20" s="94"/>
      <c r="Z20" s="94"/>
      <c r="AA20" s="150"/>
      <c r="AB20" s="150"/>
      <c r="AC20" s="150"/>
      <c r="AD20" s="102"/>
      <c r="AE20" s="102"/>
    </row>
    <row r="21" spans="1:31" ht="16" x14ac:dyDescent="0.2">
      <c r="A21" s="32"/>
      <c r="B21" s="32"/>
      <c r="C21" s="32"/>
      <c r="D21" s="32" t="s">
        <v>28</v>
      </c>
      <c r="E21" s="32"/>
      <c r="F21" s="32"/>
      <c r="G21" s="129"/>
      <c r="H21" s="146">
        <v>212.83</v>
      </c>
      <c r="I21" s="147">
        <v>449.95</v>
      </c>
      <c r="J21" s="147">
        <v>796.37</v>
      </c>
      <c r="K21" s="147">
        <v>1072.67</v>
      </c>
      <c r="L21" s="147">
        <v>404.04</v>
      </c>
      <c r="M21" s="147">
        <v>638.46</v>
      </c>
      <c r="N21" s="147">
        <v>1006.49</v>
      </c>
      <c r="O21" s="147"/>
      <c r="P21" s="147"/>
      <c r="Q21" s="147"/>
      <c r="R21" s="147"/>
      <c r="S21" s="257"/>
      <c r="T21" s="229">
        <f t="shared" si="4"/>
        <v>18.75</v>
      </c>
      <c r="U21" s="147">
        <f t="shared" si="1"/>
        <v>4449.5600000000004</v>
      </c>
      <c r="V21" s="147"/>
      <c r="W21" s="148">
        <f t="shared" ref="W21:W26" si="5">SUM(H21:S21)</f>
        <v>4580.8100000000004</v>
      </c>
      <c r="X21" s="48"/>
      <c r="Y21" s="197">
        <f t="shared" si="2"/>
        <v>20.359155555555557</v>
      </c>
      <c r="Z21" s="48"/>
      <c r="AA21" s="178">
        <f t="shared" si="3"/>
        <v>131.25</v>
      </c>
      <c r="AB21" s="147"/>
      <c r="AC21" s="147">
        <v>225</v>
      </c>
      <c r="AD21" s="72"/>
      <c r="AE21" s="72"/>
    </row>
    <row r="22" spans="1:31" ht="16" x14ac:dyDescent="0.2">
      <c r="A22" s="32"/>
      <c r="B22" s="32"/>
      <c r="C22" s="32"/>
      <c r="D22" s="32" t="s">
        <v>30</v>
      </c>
      <c r="E22" s="32"/>
      <c r="F22" s="32"/>
      <c r="G22" s="129"/>
      <c r="H22" s="146">
        <v>5593.33</v>
      </c>
      <c r="I22" s="147">
        <v>8456.56</v>
      </c>
      <c r="J22" s="147">
        <v>8651.26</v>
      </c>
      <c r="K22" s="147">
        <v>12603.61</v>
      </c>
      <c r="L22" s="147">
        <v>13254.42</v>
      </c>
      <c r="M22" s="147">
        <f>12840.48+170.26</f>
        <v>13010.74</v>
      </c>
      <c r="N22" s="147">
        <v>13593.3</v>
      </c>
      <c r="O22" s="147"/>
      <c r="P22" s="147"/>
      <c r="Q22" s="147"/>
      <c r="R22" s="147"/>
      <c r="S22" s="257"/>
      <c r="T22" s="229">
        <f t="shared" si="4"/>
        <v>208.33333333333334</v>
      </c>
      <c r="U22" s="147">
        <f t="shared" si="1"/>
        <v>73704.886666666673</v>
      </c>
      <c r="V22" s="147"/>
      <c r="W22" s="148">
        <f t="shared" si="5"/>
        <v>75163.22</v>
      </c>
      <c r="X22" s="48"/>
      <c r="Y22" s="197">
        <f t="shared" si="2"/>
        <v>30.065287999999999</v>
      </c>
      <c r="Z22" s="48"/>
      <c r="AA22" s="178">
        <f t="shared" si="3"/>
        <v>1458.3333333333335</v>
      </c>
      <c r="AB22" s="147"/>
      <c r="AC22" s="147">
        <v>2500</v>
      </c>
      <c r="AD22" s="72"/>
      <c r="AE22" s="72"/>
    </row>
    <row r="23" spans="1:31" ht="16" x14ac:dyDescent="0.2">
      <c r="A23" s="32"/>
      <c r="B23" s="32"/>
      <c r="C23" s="105" t="s">
        <v>33</v>
      </c>
      <c r="D23" s="105"/>
      <c r="E23" s="105"/>
      <c r="F23" s="105"/>
      <c r="G23" s="131"/>
      <c r="H23" s="151">
        <f>SUM(H21:H22)</f>
        <v>5806.16</v>
      </c>
      <c r="I23" s="152">
        <f t="shared" ref="I23:O23" si="6">I21+I22</f>
        <v>8906.51</v>
      </c>
      <c r="J23" s="152">
        <f t="shared" si="6"/>
        <v>9447.630000000001</v>
      </c>
      <c r="K23" s="152">
        <f t="shared" si="6"/>
        <v>13676.28</v>
      </c>
      <c r="L23" s="152">
        <f t="shared" si="6"/>
        <v>13658.460000000001</v>
      </c>
      <c r="M23" s="152">
        <f t="shared" si="6"/>
        <v>13649.2</v>
      </c>
      <c r="N23" s="152">
        <f>N21+N22</f>
        <v>14599.789999999999</v>
      </c>
      <c r="O23" s="152">
        <f t="shared" si="6"/>
        <v>0</v>
      </c>
      <c r="P23" s="152">
        <f>P22+P21</f>
        <v>0</v>
      </c>
      <c r="Q23" s="152">
        <f>Q21+Q22</f>
        <v>0</v>
      </c>
      <c r="R23" s="152">
        <f>R21+R22</f>
        <v>0</v>
      </c>
      <c r="S23" s="259">
        <f>S21+S22</f>
        <v>0</v>
      </c>
      <c r="T23" s="231">
        <f t="shared" si="4"/>
        <v>227.08333333333334</v>
      </c>
      <c r="U23" s="152">
        <f t="shared" si="1"/>
        <v>78154.44666666667</v>
      </c>
      <c r="V23" s="152"/>
      <c r="W23" s="148">
        <f t="shared" si="5"/>
        <v>79744.03</v>
      </c>
      <c r="X23" s="103"/>
      <c r="Y23" s="200">
        <f t="shared" si="2"/>
        <v>29.263864220183486</v>
      </c>
      <c r="Z23" s="103"/>
      <c r="AA23" s="152">
        <f>SUM(AA20:AA22)</f>
        <v>1589.5833333333335</v>
      </c>
      <c r="AB23" s="152"/>
      <c r="AC23" s="152">
        <f>SUM(AC20:AC22)</f>
        <v>2725</v>
      </c>
      <c r="AD23" s="103">
        <f>SUM(AD20:AD22)</f>
        <v>0</v>
      </c>
      <c r="AE23" s="103"/>
    </row>
    <row r="24" spans="1:31" ht="17" thickBot="1" x14ac:dyDescent="0.25">
      <c r="A24" s="32"/>
      <c r="B24" s="32"/>
      <c r="C24" s="32" t="s">
        <v>35</v>
      </c>
      <c r="D24" s="32"/>
      <c r="E24" s="32"/>
      <c r="F24" s="32"/>
      <c r="G24" s="129"/>
      <c r="H24" s="153">
        <v>5</v>
      </c>
      <c r="I24" s="154">
        <v>0</v>
      </c>
      <c r="J24" s="154">
        <v>12</v>
      </c>
      <c r="K24" s="154">
        <v>27</v>
      </c>
      <c r="L24" s="154">
        <v>859.64</v>
      </c>
      <c r="M24" s="154"/>
      <c r="N24" s="154"/>
      <c r="O24" s="154"/>
      <c r="P24" s="154"/>
      <c r="Q24" s="154"/>
      <c r="R24" s="154"/>
      <c r="S24" s="260"/>
      <c r="T24" s="232">
        <f t="shared" si="4"/>
        <v>4.166666666666667</v>
      </c>
      <c r="U24" s="152">
        <f t="shared" si="1"/>
        <v>874.47333333333336</v>
      </c>
      <c r="V24" s="154"/>
      <c r="W24" s="148">
        <f t="shared" si="5"/>
        <v>903.64</v>
      </c>
      <c r="X24" s="51"/>
      <c r="Y24" s="198">
        <f t="shared" si="2"/>
        <v>18.072800000000001</v>
      </c>
      <c r="Z24" s="51"/>
      <c r="AA24" s="179">
        <f>AC24/12*$AI$5</f>
        <v>29.166666666666668</v>
      </c>
      <c r="AB24" s="154"/>
      <c r="AC24" s="154">
        <v>50</v>
      </c>
      <c r="AD24" s="51">
        <v>300</v>
      </c>
      <c r="AE24" s="51"/>
    </row>
    <row r="25" spans="1:31" ht="17" thickBot="1" x14ac:dyDescent="0.25">
      <c r="A25" s="32"/>
      <c r="B25" s="32"/>
      <c r="C25" s="32" t="s">
        <v>246</v>
      </c>
      <c r="D25" s="32"/>
      <c r="E25" s="32" t="s">
        <v>215</v>
      </c>
      <c r="F25" s="32"/>
      <c r="G25" s="129"/>
      <c r="H25" s="153">
        <v>0</v>
      </c>
      <c r="I25" s="154"/>
      <c r="J25" s="154">
        <v>0</v>
      </c>
      <c r="K25" s="154">
        <v>0</v>
      </c>
      <c r="L25" s="154">
        <v>-36.06</v>
      </c>
      <c r="M25" s="154">
        <v>940.66</v>
      </c>
      <c r="N25" s="154">
        <v>-1740.48</v>
      </c>
      <c r="O25" s="154">
        <v>0</v>
      </c>
      <c r="P25" s="154">
        <v>0</v>
      </c>
      <c r="Q25" s="154">
        <v>0</v>
      </c>
      <c r="R25" s="154">
        <v>0</v>
      </c>
      <c r="S25" s="260">
        <v>0</v>
      </c>
      <c r="T25" s="232"/>
      <c r="U25" s="154"/>
      <c r="V25" s="154"/>
      <c r="W25" s="148">
        <f t="shared" si="5"/>
        <v>-835.88000000000011</v>
      </c>
      <c r="X25" s="51"/>
      <c r="Y25" s="198"/>
      <c r="Z25" s="51"/>
      <c r="AA25" s="179"/>
      <c r="AB25" s="154"/>
      <c r="AC25" s="154"/>
      <c r="AD25" s="51"/>
      <c r="AE25" s="51"/>
    </row>
    <row r="26" spans="1:31" ht="17" thickBot="1" x14ac:dyDescent="0.25">
      <c r="A26" s="32"/>
      <c r="B26" s="104" t="s">
        <v>36</v>
      </c>
      <c r="C26" s="104"/>
      <c r="D26" s="104"/>
      <c r="E26" s="104"/>
      <c r="F26" s="104"/>
      <c r="G26" s="132"/>
      <c r="H26" s="153">
        <f>SUM(H9:H19)+SUM(H23:H24)</f>
        <v>331819.69</v>
      </c>
      <c r="I26" s="154">
        <f>SUM(I9:I19)+SUM(I23:I24)</f>
        <v>330249.18000000005</v>
      </c>
      <c r="J26" s="154">
        <f>SUM(J9:J19)+SUM(J23:J24)</f>
        <v>326533.84000000003</v>
      </c>
      <c r="K26" s="154">
        <f>SUM(K9:K19)+SUM(K23:K23:K24)</f>
        <v>356033.19</v>
      </c>
      <c r="L26" s="154">
        <f>SUM(L9:L19)+SUM(L23:L23:L24)+L25</f>
        <v>348484.48</v>
      </c>
      <c r="M26" s="154">
        <f>SUM(M9:M19)+SUM(M23:M23:M24)+M25</f>
        <v>326546.26999999996</v>
      </c>
      <c r="N26" s="154">
        <f>SUM(N9:N19)+SUM(N23:N23:N24)+N25</f>
        <v>326967.87</v>
      </c>
      <c r="O26" s="154">
        <f>SUM(O9:O19)+SUM(O23:O23:O24)+O25</f>
        <v>0</v>
      </c>
      <c r="P26" s="154">
        <f>SUM(P9:P19)+SUM(P23:P23:P24)+P25</f>
        <v>0</v>
      </c>
      <c r="Q26" s="154">
        <f>SUM(Q9:Q19)+SUM(Q23:Q23:Q24)+Q25</f>
        <v>0</v>
      </c>
      <c r="R26" s="154">
        <f>SUM(R9:R19)+SUM(R23:R23:R24)+R25</f>
        <v>0</v>
      </c>
      <c r="S26" s="154">
        <f>SUM(S9:S19)+SUM(S23:S23:S24)+S25</f>
        <v>0</v>
      </c>
      <c r="T26" s="233">
        <f>AC26/12</f>
        <v>312972.91666666669</v>
      </c>
      <c r="U26" s="155">
        <f t="shared" si="1"/>
        <v>155824.10333333351</v>
      </c>
      <c r="V26" s="155"/>
      <c r="W26" s="156">
        <f t="shared" si="5"/>
        <v>2346634.52</v>
      </c>
      <c r="X26" s="51"/>
      <c r="Y26" s="199">
        <f t="shared" si="2"/>
        <v>0.62482363889314174</v>
      </c>
      <c r="Z26" s="51"/>
      <c r="AA26" s="179">
        <f>SUM(AA9:AA19)+SUM(AA23:AA23:AA24)</f>
        <v>2190810.4166666665</v>
      </c>
      <c r="AB26" s="154"/>
      <c r="AC26" s="154">
        <f>SUM(AC9:AC19)+SUM(AC23:AC24)</f>
        <v>3755675</v>
      </c>
      <c r="AD26" s="51">
        <f>SUM(AD9:AD19)+SUM(AD23:AD23:AD24)</f>
        <v>300</v>
      </c>
      <c r="AE26" s="51"/>
    </row>
    <row r="27" spans="1:31" ht="16" x14ac:dyDescent="0.2">
      <c r="A27" s="32"/>
      <c r="B27" s="32" t="s">
        <v>38</v>
      </c>
      <c r="C27" s="32"/>
      <c r="D27" s="32"/>
      <c r="E27" s="32"/>
      <c r="F27" s="32"/>
      <c r="G27" s="129"/>
      <c r="H27" s="143"/>
      <c r="I27" s="48"/>
      <c r="J27" s="48"/>
      <c r="K27" s="48"/>
      <c r="L27" s="48"/>
      <c r="M27" s="48"/>
      <c r="N27" s="48"/>
      <c r="O27" s="48"/>
      <c r="P27" s="48"/>
      <c r="Q27" s="48"/>
      <c r="R27" s="48"/>
      <c r="S27" s="261"/>
      <c r="T27" s="234"/>
      <c r="U27" s="48"/>
      <c r="V27" s="48"/>
      <c r="W27" s="48"/>
      <c r="X27" s="48"/>
      <c r="Y27" s="48"/>
      <c r="Z27" s="48"/>
      <c r="AA27" s="48"/>
      <c r="AB27" s="48"/>
      <c r="AC27" s="48"/>
      <c r="AD27" s="72"/>
      <c r="AE27" s="72"/>
    </row>
    <row r="28" spans="1:31" ht="16" x14ac:dyDescent="0.2">
      <c r="A28" s="32"/>
      <c r="B28" s="32"/>
      <c r="C28" s="32" t="s">
        <v>39</v>
      </c>
      <c r="D28" s="32"/>
      <c r="E28" s="32"/>
      <c r="F28" s="32"/>
      <c r="G28" s="129"/>
      <c r="H28" s="146">
        <v>1680</v>
      </c>
      <c r="I28" s="147">
        <v>1275</v>
      </c>
      <c r="J28" s="147">
        <v>1285</v>
      </c>
      <c r="K28" s="147">
        <v>2022.5</v>
      </c>
      <c r="L28" s="147">
        <v>1047.5</v>
      </c>
      <c r="M28" s="147">
        <v>1540</v>
      </c>
      <c r="N28" s="147">
        <v>855</v>
      </c>
      <c r="O28" s="147"/>
      <c r="P28" s="147"/>
      <c r="Q28" s="147"/>
      <c r="R28" s="147"/>
      <c r="S28" s="257"/>
      <c r="T28" s="229">
        <f>AC28/12</f>
        <v>833.33333333333337</v>
      </c>
      <c r="U28" s="147">
        <f t="shared" si="1"/>
        <v>3871.6666666666661</v>
      </c>
      <c r="V28" s="147"/>
      <c r="W28" s="148">
        <f t="shared" ref="W28:W45" si="7">SUM(H28:S28)</f>
        <v>9705</v>
      </c>
      <c r="X28" s="48"/>
      <c r="Y28" s="197">
        <f t="shared" si="2"/>
        <v>0.97050000000000003</v>
      </c>
      <c r="Z28" s="48"/>
      <c r="AA28" s="178">
        <f t="shared" ref="AA28:AA43" si="8">AC28/12*$AI$5</f>
        <v>5833.3333333333339</v>
      </c>
      <c r="AB28" s="147"/>
      <c r="AC28" s="147">
        <v>10000</v>
      </c>
      <c r="AD28" s="72"/>
      <c r="AE28" s="72"/>
    </row>
    <row r="29" spans="1:31" ht="16" x14ac:dyDescent="0.2">
      <c r="A29" s="32"/>
      <c r="B29" s="32"/>
      <c r="C29" s="32" t="s">
        <v>40</v>
      </c>
      <c r="D29" s="32"/>
      <c r="E29" s="32"/>
      <c r="F29" s="32"/>
      <c r="G29" s="129"/>
      <c r="H29" s="146">
        <v>120</v>
      </c>
      <c r="I29" s="147"/>
      <c r="J29" s="147"/>
      <c r="K29" s="147"/>
      <c r="L29" s="147"/>
      <c r="M29" s="147"/>
      <c r="N29" s="147"/>
      <c r="O29" s="147"/>
      <c r="P29" s="147"/>
      <c r="Q29" s="147"/>
      <c r="R29" s="147"/>
      <c r="S29" s="257"/>
      <c r="T29" s="229">
        <f>AC29/12</f>
        <v>8.3333333333333339</v>
      </c>
      <c r="U29" s="147">
        <f t="shared" si="1"/>
        <v>61.666666666666664</v>
      </c>
      <c r="V29" s="147"/>
      <c r="W29" s="148">
        <f t="shared" si="7"/>
        <v>120</v>
      </c>
      <c r="X29" s="48"/>
      <c r="Y29" s="197">
        <f t="shared" si="2"/>
        <v>1.2</v>
      </c>
      <c r="Z29" s="48"/>
      <c r="AA29" s="178">
        <f t="shared" si="8"/>
        <v>58.333333333333336</v>
      </c>
      <c r="AB29" s="147"/>
      <c r="AC29" s="147">
        <v>100</v>
      </c>
      <c r="AD29" s="72"/>
      <c r="AE29" s="72"/>
    </row>
    <row r="30" spans="1:31" ht="16" x14ac:dyDescent="0.2">
      <c r="A30" s="32"/>
      <c r="B30" s="32"/>
      <c r="C30" s="32" t="s">
        <v>41</v>
      </c>
      <c r="D30" s="32"/>
      <c r="E30" s="32"/>
      <c r="F30" s="32"/>
      <c r="G30" s="129"/>
      <c r="H30" s="146">
        <v>1230</v>
      </c>
      <c r="I30" s="147">
        <v>600</v>
      </c>
      <c r="J30" s="147">
        <v>655</v>
      </c>
      <c r="K30" s="147"/>
      <c r="L30" s="147">
        <v>2412.5</v>
      </c>
      <c r="M30" s="147">
        <v>650</v>
      </c>
      <c r="N30" s="147">
        <v>1357.5</v>
      </c>
      <c r="O30" s="147"/>
      <c r="P30" s="147"/>
      <c r="Q30" s="147"/>
      <c r="R30" s="147"/>
      <c r="S30" s="257"/>
      <c r="T30" s="229">
        <f>AC30/12</f>
        <v>208.33333333333334</v>
      </c>
      <c r="U30" s="147">
        <f t="shared" si="1"/>
        <v>5446.6666666666661</v>
      </c>
      <c r="V30" s="147"/>
      <c r="W30" s="148">
        <f t="shared" si="7"/>
        <v>6905</v>
      </c>
      <c r="X30" s="48"/>
      <c r="Y30" s="197">
        <f t="shared" si="2"/>
        <v>2.762</v>
      </c>
      <c r="Z30" s="48"/>
      <c r="AA30" s="178">
        <f t="shared" si="8"/>
        <v>1458.3333333333335</v>
      </c>
      <c r="AB30" s="147"/>
      <c r="AC30" s="147">
        <v>2500</v>
      </c>
      <c r="AD30" s="72"/>
      <c r="AE30" s="72"/>
    </row>
    <row r="31" spans="1:31" ht="16" x14ac:dyDescent="0.2">
      <c r="A31" s="32"/>
      <c r="B31" s="32"/>
      <c r="C31" s="32" t="s">
        <v>43</v>
      </c>
      <c r="D31" s="32"/>
      <c r="E31" s="32"/>
      <c r="F31" s="32"/>
      <c r="G31" s="129"/>
      <c r="H31" s="146">
        <v>175</v>
      </c>
      <c r="I31" s="147">
        <v>250</v>
      </c>
      <c r="J31" s="147">
        <v>100</v>
      </c>
      <c r="K31" s="147">
        <v>115</v>
      </c>
      <c r="L31" s="147">
        <v>850</v>
      </c>
      <c r="M31" s="147">
        <v>175</v>
      </c>
      <c r="N31" s="147">
        <v>185</v>
      </c>
      <c r="O31" s="147"/>
      <c r="P31" s="147"/>
      <c r="Q31" s="147"/>
      <c r="R31" s="147"/>
      <c r="S31" s="257"/>
      <c r="T31" s="229">
        <f>AC31/12</f>
        <v>500</v>
      </c>
      <c r="U31" s="147">
        <f t="shared" si="1"/>
        <v>-1650</v>
      </c>
      <c r="V31" s="147"/>
      <c r="W31" s="148">
        <f t="shared" si="7"/>
        <v>1850</v>
      </c>
      <c r="X31" s="48"/>
      <c r="Y31" s="197">
        <f t="shared" si="2"/>
        <v>0.30833333333333335</v>
      </c>
      <c r="Z31" s="48"/>
      <c r="AA31" s="178">
        <f t="shared" si="8"/>
        <v>3500</v>
      </c>
      <c r="AB31" s="147"/>
      <c r="AC31" s="147">
        <v>6000</v>
      </c>
      <c r="AD31" s="72"/>
      <c r="AE31" s="72"/>
    </row>
    <row r="32" spans="1:31" ht="16" x14ac:dyDescent="0.2">
      <c r="A32" s="32"/>
      <c r="B32" s="32"/>
      <c r="C32" s="32" t="s">
        <v>44</v>
      </c>
      <c r="D32" s="32"/>
      <c r="E32" s="32"/>
      <c r="F32" s="32"/>
      <c r="G32" s="129"/>
      <c r="H32" s="146"/>
      <c r="I32" s="147"/>
      <c r="J32" s="147"/>
      <c r="K32" s="147"/>
      <c r="L32" s="147"/>
      <c r="M32" s="147"/>
      <c r="N32" s="147"/>
      <c r="O32" s="147"/>
      <c r="P32" s="147"/>
      <c r="Q32" s="147"/>
      <c r="R32" s="147"/>
      <c r="S32" s="257"/>
      <c r="T32" s="229">
        <f>AC32/12</f>
        <v>8.3333333333333339</v>
      </c>
      <c r="U32" s="147">
        <f t="shared" si="1"/>
        <v>-58.333333333333336</v>
      </c>
      <c r="V32" s="147"/>
      <c r="W32" s="148">
        <f t="shared" si="7"/>
        <v>0</v>
      </c>
      <c r="X32" s="48"/>
      <c r="Y32" s="197">
        <f t="shared" si="2"/>
        <v>0</v>
      </c>
      <c r="Z32" s="48"/>
      <c r="AA32" s="178">
        <f t="shared" si="8"/>
        <v>58.333333333333336</v>
      </c>
      <c r="AB32" s="147"/>
      <c r="AC32" s="147">
        <v>100</v>
      </c>
      <c r="AD32" s="72"/>
      <c r="AE32" s="72"/>
    </row>
    <row r="33" spans="1:31" ht="16" x14ac:dyDescent="0.2">
      <c r="A33" s="32"/>
      <c r="B33" s="32"/>
      <c r="C33" s="32" t="s">
        <v>45</v>
      </c>
      <c r="D33" s="32"/>
      <c r="E33" s="32"/>
      <c r="F33" s="32"/>
      <c r="G33" s="129"/>
      <c r="H33" s="146"/>
      <c r="I33" s="147"/>
      <c r="J33" s="147"/>
      <c r="K33" s="147"/>
      <c r="L33" s="147"/>
      <c r="M33" s="147"/>
      <c r="N33" s="147"/>
      <c r="O33" s="147"/>
      <c r="P33" s="147"/>
      <c r="Q33" s="147"/>
      <c r="R33" s="147"/>
      <c r="S33" s="257"/>
      <c r="T33" s="229"/>
      <c r="U33" s="147">
        <f t="shared" si="1"/>
        <v>0</v>
      </c>
      <c r="V33" s="147"/>
      <c r="W33" s="148">
        <f t="shared" si="7"/>
        <v>0</v>
      </c>
      <c r="X33" s="48"/>
      <c r="Y33" s="197" t="e">
        <f t="shared" si="2"/>
        <v>#DIV/0!</v>
      </c>
      <c r="Z33" s="48"/>
      <c r="AA33" s="178">
        <f t="shared" si="8"/>
        <v>0</v>
      </c>
      <c r="AB33" s="147"/>
      <c r="AC33" s="147">
        <v>0</v>
      </c>
      <c r="AD33" s="72"/>
      <c r="AE33" s="72"/>
    </row>
    <row r="34" spans="1:31" ht="16" x14ac:dyDescent="0.2">
      <c r="A34" s="32"/>
      <c r="B34" s="32"/>
      <c r="C34" s="32" t="s">
        <v>46</v>
      </c>
      <c r="D34" s="32"/>
      <c r="E34" s="32"/>
      <c r="F34" s="32"/>
      <c r="G34" s="129"/>
      <c r="H34" s="146"/>
      <c r="I34" s="147"/>
      <c r="J34" s="147"/>
      <c r="K34" s="147"/>
      <c r="L34" s="147"/>
      <c r="M34" s="147"/>
      <c r="N34" s="147"/>
      <c r="O34" s="147"/>
      <c r="P34" s="147"/>
      <c r="Q34" s="147"/>
      <c r="R34" s="147"/>
      <c r="S34" s="257"/>
      <c r="T34" s="229">
        <f>AC34/12</f>
        <v>20</v>
      </c>
      <c r="U34" s="147">
        <f t="shared" si="1"/>
        <v>-140</v>
      </c>
      <c r="V34" s="147"/>
      <c r="W34" s="148">
        <f t="shared" si="7"/>
        <v>0</v>
      </c>
      <c r="X34" s="48"/>
      <c r="Y34" s="197">
        <f t="shared" si="2"/>
        <v>0</v>
      </c>
      <c r="Z34" s="48"/>
      <c r="AA34" s="178">
        <f t="shared" si="8"/>
        <v>140</v>
      </c>
      <c r="AB34" s="147"/>
      <c r="AC34" s="147">
        <v>240</v>
      </c>
      <c r="AD34" s="72"/>
      <c r="AE34" s="72"/>
    </row>
    <row r="35" spans="1:31" ht="16" x14ac:dyDescent="0.2">
      <c r="A35" s="32"/>
      <c r="B35" s="32"/>
      <c r="C35" s="32" t="s">
        <v>47</v>
      </c>
      <c r="D35" s="32"/>
      <c r="E35" s="32"/>
      <c r="F35" s="32"/>
      <c r="G35" s="129"/>
      <c r="H35" s="146"/>
      <c r="I35" s="147"/>
      <c r="J35" s="147"/>
      <c r="K35" s="147"/>
      <c r="L35" s="147"/>
      <c r="M35" s="147"/>
      <c r="N35" s="147"/>
      <c r="O35" s="147"/>
      <c r="P35" s="147"/>
      <c r="Q35" s="147"/>
      <c r="R35" s="147"/>
      <c r="S35" s="257"/>
      <c r="T35" s="229">
        <f>AC35/12</f>
        <v>1.6666666666666667</v>
      </c>
      <c r="U35" s="147">
        <f t="shared" si="1"/>
        <v>-11.666666666666668</v>
      </c>
      <c r="V35" s="147"/>
      <c r="W35" s="148">
        <f t="shared" si="7"/>
        <v>0</v>
      </c>
      <c r="X35" s="48"/>
      <c r="Y35" s="197">
        <f t="shared" si="2"/>
        <v>0</v>
      </c>
      <c r="Z35" s="48"/>
      <c r="AA35" s="178">
        <f t="shared" si="8"/>
        <v>11.666666666666668</v>
      </c>
      <c r="AB35" s="147"/>
      <c r="AC35" s="147">
        <v>20</v>
      </c>
      <c r="AD35" s="72"/>
      <c r="AE35" s="72"/>
    </row>
    <row r="36" spans="1:31" ht="16" x14ac:dyDescent="0.2">
      <c r="A36" s="32"/>
      <c r="B36" s="32"/>
      <c r="C36" s="32" t="s">
        <v>48</v>
      </c>
      <c r="D36" s="32"/>
      <c r="E36" s="32"/>
      <c r="F36" s="32"/>
      <c r="G36" s="129"/>
      <c r="H36" s="146"/>
      <c r="I36" s="147"/>
      <c r="J36" s="147"/>
      <c r="K36" s="147">
        <v>75</v>
      </c>
      <c r="L36" s="147">
        <v>75</v>
      </c>
      <c r="M36" s="147">
        <v>75</v>
      </c>
      <c r="N36" s="147">
        <v>75</v>
      </c>
      <c r="O36" s="147"/>
      <c r="P36" s="147"/>
      <c r="Q36" s="147"/>
      <c r="R36" s="147"/>
      <c r="S36" s="257"/>
      <c r="T36" s="229">
        <f>AC36/12</f>
        <v>6.25</v>
      </c>
      <c r="U36" s="147">
        <f t="shared" si="1"/>
        <v>256.25</v>
      </c>
      <c r="V36" s="147"/>
      <c r="W36" s="148">
        <f t="shared" si="7"/>
        <v>300</v>
      </c>
      <c r="X36" s="48"/>
      <c r="Y36" s="197">
        <f t="shared" si="2"/>
        <v>4</v>
      </c>
      <c r="Z36" s="48"/>
      <c r="AA36" s="178">
        <f t="shared" si="8"/>
        <v>43.75</v>
      </c>
      <c r="AB36" s="147"/>
      <c r="AC36" s="147">
        <v>75</v>
      </c>
      <c r="AD36" s="72"/>
      <c r="AE36" s="72"/>
    </row>
    <row r="37" spans="1:31" ht="16" x14ac:dyDescent="0.2">
      <c r="A37" s="32"/>
      <c r="B37" s="32"/>
      <c r="C37" s="32" t="s">
        <v>49</v>
      </c>
      <c r="D37" s="32"/>
      <c r="E37" s="32"/>
      <c r="F37" s="32"/>
      <c r="G37" s="129"/>
      <c r="H37" s="146"/>
      <c r="I37" s="147"/>
      <c r="J37" s="147"/>
      <c r="K37" s="147"/>
      <c r="L37" s="147"/>
      <c r="M37" s="147"/>
      <c r="N37" s="147"/>
      <c r="O37" s="147"/>
      <c r="P37" s="147"/>
      <c r="Q37" s="147"/>
      <c r="R37" s="147"/>
      <c r="S37" s="257"/>
      <c r="T37" s="229"/>
      <c r="U37" s="147">
        <f t="shared" si="1"/>
        <v>0</v>
      </c>
      <c r="V37" s="147"/>
      <c r="W37" s="148">
        <f t="shared" si="7"/>
        <v>0</v>
      </c>
      <c r="X37" s="48"/>
      <c r="Y37" s="197" t="e">
        <f t="shared" si="2"/>
        <v>#DIV/0!</v>
      </c>
      <c r="Z37" s="48"/>
      <c r="AA37" s="178">
        <f t="shared" si="8"/>
        <v>0</v>
      </c>
      <c r="AB37" s="147"/>
      <c r="AC37" s="147">
        <v>0</v>
      </c>
      <c r="AD37" s="72"/>
      <c r="AE37" s="72"/>
    </row>
    <row r="38" spans="1:31" ht="16" x14ac:dyDescent="0.2">
      <c r="A38" s="32"/>
      <c r="B38" s="32"/>
      <c r="C38" s="32" t="s">
        <v>214</v>
      </c>
      <c r="D38" s="32"/>
      <c r="E38" s="32"/>
      <c r="F38" s="32"/>
      <c r="G38" s="129"/>
      <c r="H38" s="146"/>
      <c r="I38" s="147"/>
      <c r="J38" s="147"/>
      <c r="K38" s="147"/>
      <c r="L38" s="147"/>
      <c r="M38" s="147"/>
      <c r="N38" s="147"/>
      <c r="O38" s="147"/>
      <c r="P38" s="147"/>
      <c r="Q38" s="147"/>
      <c r="R38" s="147"/>
      <c r="S38" s="257"/>
      <c r="T38" s="229">
        <v>13050</v>
      </c>
      <c r="U38" s="147">
        <f t="shared" si="1"/>
        <v>-100485</v>
      </c>
      <c r="V38" s="147"/>
      <c r="W38" s="148">
        <f t="shared" si="7"/>
        <v>0</v>
      </c>
      <c r="X38" s="48"/>
      <c r="Y38" s="197">
        <f t="shared" si="2"/>
        <v>0</v>
      </c>
      <c r="Z38" s="48"/>
      <c r="AA38" s="178">
        <f t="shared" si="8"/>
        <v>100485</v>
      </c>
      <c r="AB38" s="147"/>
      <c r="AC38" s="147">
        <v>172260</v>
      </c>
      <c r="AD38" s="72"/>
      <c r="AE38" s="72"/>
    </row>
    <row r="39" spans="1:31" ht="16" x14ac:dyDescent="0.2">
      <c r="A39" s="32"/>
      <c r="B39" s="32"/>
      <c r="C39" s="32" t="s">
        <v>223</v>
      </c>
      <c r="D39" s="32"/>
      <c r="E39" s="32"/>
      <c r="F39" s="32"/>
      <c r="G39" s="129"/>
      <c r="H39" s="146"/>
      <c r="I39" s="147"/>
      <c r="J39" s="147"/>
      <c r="K39" s="147"/>
      <c r="L39" s="147"/>
      <c r="M39" s="147"/>
      <c r="N39" s="147"/>
      <c r="O39" s="147"/>
      <c r="P39" s="147"/>
      <c r="Q39" s="147"/>
      <c r="R39" s="147"/>
      <c r="S39" s="257"/>
      <c r="T39" s="229"/>
      <c r="U39" s="147">
        <v>0</v>
      </c>
      <c r="V39" s="147"/>
      <c r="W39" s="148">
        <f>SUM(H39:S39)</f>
        <v>0</v>
      </c>
      <c r="X39" s="48"/>
      <c r="Y39" s="197" t="e">
        <f t="shared" si="2"/>
        <v>#DIV/0!</v>
      </c>
      <c r="Z39" s="48"/>
      <c r="AA39" s="178">
        <v>0</v>
      </c>
      <c r="AB39" s="147"/>
      <c r="AC39" s="147"/>
      <c r="AD39" s="72"/>
      <c r="AE39" s="72"/>
    </row>
    <row r="40" spans="1:31" ht="16" x14ac:dyDescent="0.2">
      <c r="A40" s="32"/>
      <c r="B40" s="32"/>
      <c r="C40" s="32" t="s">
        <v>222</v>
      </c>
      <c r="D40" s="32"/>
      <c r="E40" s="32"/>
      <c r="F40" s="32"/>
      <c r="G40" s="129"/>
      <c r="H40" s="146">
        <v>2083.1999999999998</v>
      </c>
      <c r="I40" s="147">
        <v>4166.3999999999996</v>
      </c>
      <c r="J40" s="147"/>
      <c r="K40" s="147">
        <v>4166.3999999999996</v>
      </c>
      <c r="L40" s="147"/>
      <c r="M40" s="147">
        <v>2083.1999999999998</v>
      </c>
      <c r="N40" s="147">
        <v>2083.1999999999998</v>
      </c>
      <c r="O40" s="147"/>
      <c r="P40" s="147"/>
      <c r="Q40" s="147"/>
      <c r="R40" s="147"/>
      <c r="S40" s="257"/>
      <c r="T40" s="229">
        <v>0</v>
      </c>
      <c r="U40" s="147">
        <f t="shared" si="1"/>
        <v>-0.93333333333248447</v>
      </c>
      <c r="V40" s="147"/>
      <c r="W40" s="148">
        <f t="shared" si="7"/>
        <v>14582.400000000001</v>
      </c>
      <c r="X40" s="48"/>
      <c r="Y40" s="197">
        <f t="shared" si="2"/>
        <v>0.58329600000000004</v>
      </c>
      <c r="Z40" s="48"/>
      <c r="AA40" s="178">
        <f t="shared" si="8"/>
        <v>14583.333333333334</v>
      </c>
      <c r="AB40" s="147"/>
      <c r="AC40" s="147">
        <v>25000</v>
      </c>
      <c r="AD40" s="72"/>
      <c r="AE40" s="72"/>
    </row>
    <row r="41" spans="1:31" ht="16" x14ac:dyDescent="0.2">
      <c r="A41" s="32"/>
      <c r="B41" s="32"/>
      <c r="C41" s="93" t="s">
        <v>50</v>
      </c>
      <c r="D41" s="93"/>
      <c r="E41" s="93"/>
      <c r="F41" s="93"/>
      <c r="G41" s="130"/>
      <c r="H41" s="149"/>
      <c r="I41" s="150"/>
      <c r="J41" s="150"/>
      <c r="K41" s="150"/>
      <c r="L41" s="150"/>
      <c r="M41" s="150"/>
      <c r="N41" s="150"/>
      <c r="O41" s="150"/>
      <c r="P41" s="150"/>
      <c r="Q41" s="150"/>
      <c r="R41" s="150"/>
      <c r="S41" s="258"/>
      <c r="T41" s="230"/>
      <c r="U41" s="150">
        <f t="shared" si="1"/>
        <v>0</v>
      </c>
      <c r="V41" s="150"/>
      <c r="W41" s="150">
        <f t="shared" si="7"/>
        <v>0</v>
      </c>
      <c r="X41" s="94"/>
      <c r="Y41" s="94"/>
      <c r="Z41" s="94"/>
      <c r="AA41" s="150">
        <f t="shared" si="8"/>
        <v>0</v>
      </c>
      <c r="AB41" s="150"/>
      <c r="AC41" s="150"/>
      <c r="AD41" s="94"/>
      <c r="AE41" s="94"/>
    </row>
    <row r="42" spans="1:31" ht="16" x14ac:dyDescent="0.2">
      <c r="A42" s="32"/>
      <c r="B42" s="32"/>
      <c r="C42" s="22"/>
      <c r="D42" s="32" t="s">
        <v>51</v>
      </c>
      <c r="E42" s="32"/>
      <c r="F42" s="32"/>
      <c r="G42" s="129"/>
      <c r="H42" s="146"/>
      <c r="I42" s="147"/>
      <c r="J42" s="147"/>
      <c r="K42" s="147"/>
      <c r="L42" s="147"/>
      <c r="M42" s="147"/>
      <c r="N42" s="147"/>
      <c r="O42" s="147"/>
      <c r="P42" s="147"/>
      <c r="Q42" s="147"/>
      <c r="R42" s="147"/>
      <c r="S42" s="257"/>
      <c r="T42" s="229">
        <f>AC42/12</f>
        <v>0</v>
      </c>
      <c r="U42" s="147">
        <f t="shared" si="1"/>
        <v>0</v>
      </c>
      <c r="V42" s="147"/>
      <c r="W42" s="148">
        <f t="shared" si="7"/>
        <v>0</v>
      </c>
      <c r="X42" s="48"/>
      <c r="Y42" s="197" t="e">
        <f t="shared" ref="Y42:Y45" si="9">W42/AC42</f>
        <v>#DIV/0!</v>
      </c>
      <c r="Z42" s="48"/>
      <c r="AA42" s="178">
        <f t="shared" si="8"/>
        <v>0</v>
      </c>
      <c r="AB42" s="147"/>
      <c r="AC42" s="147">
        <v>0</v>
      </c>
      <c r="AD42" s="48">
        <v>500</v>
      </c>
      <c r="AE42" s="48"/>
    </row>
    <row r="43" spans="1:31" ht="16" x14ac:dyDescent="0.2">
      <c r="A43" s="32"/>
      <c r="B43" s="32"/>
      <c r="C43" s="32"/>
      <c r="D43" s="32" t="s">
        <v>183</v>
      </c>
      <c r="E43" s="32"/>
      <c r="F43" s="32"/>
      <c r="G43" s="129"/>
      <c r="H43" s="146">
        <v>150</v>
      </c>
      <c r="I43" s="147">
        <v>50</v>
      </c>
      <c r="J43" s="147">
        <v>200</v>
      </c>
      <c r="K43" s="147">
        <v>100</v>
      </c>
      <c r="L43" s="147">
        <v>100</v>
      </c>
      <c r="M43" s="147"/>
      <c r="N43" s="147">
        <v>350</v>
      </c>
      <c r="O43" s="147"/>
      <c r="P43" s="147"/>
      <c r="Q43" s="147"/>
      <c r="R43" s="147"/>
      <c r="S43" s="257"/>
      <c r="T43" s="229">
        <f>AC43/12</f>
        <v>50</v>
      </c>
      <c r="U43" s="147">
        <f t="shared" si="1"/>
        <v>600</v>
      </c>
      <c r="V43" s="147"/>
      <c r="W43" s="148">
        <f t="shared" si="7"/>
        <v>950</v>
      </c>
      <c r="X43" s="48"/>
      <c r="Y43" s="197">
        <f t="shared" si="9"/>
        <v>1.5833333333333333</v>
      </c>
      <c r="Z43" s="48"/>
      <c r="AA43" s="178">
        <f t="shared" si="8"/>
        <v>350</v>
      </c>
      <c r="AB43" s="147"/>
      <c r="AC43" s="147">
        <v>600</v>
      </c>
      <c r="AD43" s="48">
        <v>300</v>
      </c>
      <c r="AE43" s="48"/>
    </row>
    <row r="44" spans="1:31" ht="17" thickBot="1" x14ac:dyDescent="0.25">
      <c r="A44" s="32"/>
      <c r="B44" s="32"/>
      <c r="C44" s="105" t="s">
        <v>52</v>
      </c>
      <c r="D44" s="105"/>
      <c r="E44" s="105"/>
      <c r="F44" s="105"/>
      <c r="G44" s="131"/>
      <c r="H44" s="152">
        <f>SUM(H42:H43)</f>
        <v>150</v>
      </c>
      <c r="I44" s="152">
        <f>SUM(I42:I43)</f>
        <v>50</v>
      </c>
      <c r="J44" s="152">
        <f t="shared" ref="J44:L44" si="10">SUM(J42:J43)</f>
        <v>200</v>
      </c>
      <c r="K44" s="152">
        <f t="shared" si="10"/>
        <v>100</v>
      </c>
      <c r="L44" s="152">
        <f t="shared" si="10"/>
        <v>100</v>
      </c>
      <c r="M44" s="152">
        <f>SUM(M42:M43)</f>
        <v>0</v>
      </c>
      <c r="N44" s="152">
        <f t="shared" ref="N44:T44" si="11">SUM(N42:N43)</f>
        <v>350</v>
      </c>
      <c r="O44" s="152">
        <f t="shared" si="11"/>
        <v>0</v>
      </c>
      <c r="P44" s="152">
        <f t="shared" si="11"/>
        <v>0</v>
      </c>
      <c r="Q44" s="152">
        <f t="shared" si="11"/>
        <v>0</v>
      </c>
      <c r="R44" s="152">
        <f t="shared" si="11"/>
        <v>0</v>
      </c>
      <c r="S44" s="152">
        <f t="shared" si="11"/>
        <v>0</v>
      </c>
      <c r="T44" s="152">
        <f t="shared" si="11"/>
        <v>50</v>
      </c>
      <c r="U44" s="152">
        <f t="shared" si="1"/>
        <v>600</v>
      </c>
      <c r="V44" s="152"/>
      <c r="W44" s="152">
        <f t="shared" si="7"/>
        <v>950</v>
      </c>
      <c r="X44" s="103"/>
      <c r="Y44" s="200">
        <f t="shared" si="9"/>
        <v>1.5833333333333333</v>
      </c>
      <c r="Z44" s="103"/>
      <c r="AA44" s="152">
        <f>SUM(AA42:AA43)</f>
        <v>350</v>
      </c>
      <c r="AB44" s="152"/>
      <c r="AC44" s="152">
        <f>SUM(AC42:AC43)</f>
        <v>600</v>
      </c>
      <c r="AD44" s="103">
        <f>SUM(AD41:AD43)</f>
        <v>800</v>
      </c>
      <c r="AE44" s="103"/>
    </row>
    <row r="45" spans="1:31" ht="17" thickBot="1" x14ac:dyDescent="0.25">
      <c r="A45" s="32"/>
      <c r="B45" s="104" t="s">
        <v>53</v>
      </c>
      <c r="C45" s="104"/>
      <c r="D45" s="104"/>
      <c r="E45" s="104"/>
      <c r="F45" s="104"/>
      <c r="G45" s="132"/>
      <c r="H45" s="155">
        <f t="shared" ref="H45:S45" si="12">SUM(H28:H43)</f>
        <v>5438.2</v>
      </c>
      <c r="I45" s="155">
        <f t="shared" si="12"/>
        <v>6341.4</v>
      </c>
      <c r="J45" s="155">
        <f t="shared" si="12"/>
        <v>2240</v>
      </c>
      <c r="K45" s="155">
        <f t="shared" si="12"/>
        <v>6478.9</v>
      </c>
      <c r="L45" s="155">
        <f t="shared" si="12"/>
        <v>4485</v>
      </c>
      <c r="M45" s="155">
        <f t="shared" si="12"/>
        <v>4523.2</v>
      </c>
      <c r="N45" s="155">
        <f t="shared" si="12"/>
        <v>4905.7</v>
      </c>
      <c r="O45" s="155">
        <f t="shared" si="12"/>
        <v>0</v>
      </c>
      <c r="P45" s="155">
        <f t="shared" si="12"/>
        <v>0</v>
      </c>
      <c r="Q45" s="155">
        <f t="shared" si="12"/>
        <v>0</v>
      </c>
      <c r="R45" s="155">
        <f t="shared" si="12"/>
        <v>0</v>
      </c>
      <c r="S45" s="262">
        <f t="shared" si="12"/>
        <v>0</v>
      </c>
      <c r="T45" s="233">
        <f>AC45/12</f>
        <v>18074.583333333332</v>
      </c>
      <c r="U45" s="155">
        <f t="shared" si="1"/>
        <v>-92109.68333333332</v>
      </c>
      <c r="V45" s="155"/>
      <c r="W45" s="156">
        <f t="shared" si="7"/>
        <v>34412.400000000001</v>
      </c>
      <c r="X45" s="53"/>
      <c r="Y45" s="199">
        <f t="shared" si="9"/>
        <v>0.15865925908849904</v>
      </c>
      <c r="Z45" s="53"/>
      <c r="AA45" s="180">
        <f>SUM(AA27:AA40)+AA44</f>
        <v>126522.08333333333</v>
      </c>
      <c r="AB45" s="155"/>
      <c r="AC45" s="155">
        <f>SUM(AC27:AC40)+AC44</f>
        <v>216895</v>
      </c>
      <c r="AD45" s="53">
        <f>SUM(AD27:AD37)+AD44</f>
        <v>800</v>
      </c>
      <c r="AE45" s="53"/>
    </row>
    <row r="46" spans="1:31" ht="16" x14ac:dyDescent="0.2">
      <c r="A46" s="32"/>
      <c r="B46" s="32"/>
      <c r="C46" s="32"/>
      <c r="D46" s="32"/>
      <c r="E46" s="32"/>
      <c r="F46" s="32"/>
      <c r="G46" s="129"/>
      <c r="H46" s="146"/>
      <c r="I46" s="147"/>
      <c r="J46" s="147"/>
      <c r="K46" s="147"/>
      <c r="L46" s="147"/>
      <c r="M46" s="147"/>
      <c r="N46" s="147"/>
      <c r="O46" s="147"/>
      <c r="P46" s="147"/>
      <c r="Q46" s="147"/>
      <c r="R46" s="147"/>
      <c r="S46" s="257"/>
      <c r="T46" s="229"/>
      <c r="U46" s="147"/>
      <c r="V46" s="147"/>
      <c r="W46" s="148"/>
      <c r="X46" s="48"/>
      <c r="Y46" s="48"/>
      <c r="Z46" s="48"/>
      <c r="AA46" s="178"/>
      <c r="AB46" s="147"/>
      <c r="AC46" s="147"/>
      <c r="AD46" s="48"/>
      <c r="AE46" s="48"/>
    </row>
    <row r="47" spans="1:31" ht="16" x14ac:dyDescent="0.2">
      <c r="A47" s="32"/>
      <c r="B47" s="106" t="s">
        <v>54</v>
      </c>
      <c r="C47" s="106"/>
      <c r="D47" s="106"/>
      <c r="E47" s="106"/>
      <c r="F47" s="106"/>
      <c r="G47" s="133"/>
      <c r="H47" s="158">
        <f t="shared" ref="H47:S47" si="13">SUM(H8+H26+H45)</f>
        <v>337257.89</v>
      </c>
      <c r="I47" s="159">
        <f t="shared" si="13"/>
        <v>336590.58000000007</v>
      </c>
      <c r="J47" s="159">
        <f t="shared" si="13"/>
        <v>328773.84000000003</v>
      </c>
      <c r="K47" s="159">
        <f t="shared" si="13"/>
        <v>362512.09</v>
      </c>
      <c r="L47" s="159">
        <f t="shared" si="13"/>
        <v>352969.48</v>
      </c>
      <c r="M47" s="159">
        <f t="shared" si="13"/>
        <v>331069.46999999997</v>
      </c>
      <c r="N47" s="159">
        <f>SUM(N8+N26+N45)</f>
        <v>331873.57</v>
      </c>
      <c r="O47" s="159">
        <f t="shared" si="13"/>
        <v>0</v>
      </c>
      <c r="P47" s="159">
        <f t="shared" si="13"/>
        <v>0</v>
      </c>
      <c r="Q47" s="159">
        <f t="shared" si="13"/>
        <v>0</v>
      </c>
      <c r="R47" s="159">
        <f t="shared" si="13"/>
        <v>0</v>
      </c>
      <c r="S47" s="263">
        <f t="shared" si="13"/>
        <v>0</v>
      </c>
      <c r="T47" s="235">
        <f>AC47/12</f>
        <v>331047.5</v>
      </c>
      <c r="U47" s="159">
        <f t="shared" si="1"/>
        <v>63714.419999999925</v>
      </c>
      <c r="V47" s="159"/>
      <c r="W47" s="160">
        <f>SUM(H47:S47)</f>
        <v>2381046.92</v>
      </c>
      <c r="X47" s="95"/>
      <c r="Y47" s="201">
        <f t="shared" ref="Y47:Y48" si="14">W47/AC47</f>
        <v>0.59937192296170994</v>
      </c>
      <c r="Z47" s="95"/>
      <c r="AA47" s="181">
        <f>ROUND(AA8+AA26+AA45,5)</f>
        <v>2317332.5</v>
      </c>
      <c r="AB47" s="159"/>
      <c r="AC47" s="159">
        <f>ROUND(AC8+AC26+AC45,5)</f>
        <v>3972570</v>
      </c>
      <c r="AD47" s="95">
        <f>ROUND(AD8+AD26+AD45,5)</f>
        <v>1100</v>
      </c>
      <c r="AE47" s="95"/>
    </row>
    <row r="48" spans="1:31" ht="17" thickBot="1" x14ac:dyDescent="0.25">
      <c r="A48" s="32"/>
      <c r="B48" s="57" t="s">
        <v>55</v>
      </c>
      <c r="C48" s="57"/>
      <c r="D48" s="57"/>
      <c r="E48" s="57"/>
      <c r="F48" s="57"/>
      <c r="G48" s="134"/>
      <c r="H48" s="161">
        <f>H47</f>
        <v>337257.89</v>
      </c>
      <c r="I48" s="162">
        <f>I47</f>
        <v>336590.58000000007</v>
      </c>
      <c r="J48" s="162">
        <f t="shared" ref="J48:S48" si="15">J47</f>
        <v>328773.84000000003</v>
      </c>
      <c r="K48" s="162">
        <f t="shared" si="15"/>
        <v>362512.09</v>
      </c>
      <c r="L48" s="162">
        <f>L47</f>
        <v>352969.48</v>
      </c>
      <c r="M48" s="162">
        <f t="shared" ref="M48" si="16">M47</f>
        <v>331069.46999999997</v>
      </c>
      <c r="N48" s="162">
        <f t="shared" si="15"/>
        <v>331873.57</v>
      </c>
      <c r="O48" s="162">
        <f t="shared" si="15"/>
        <v>0</v>
      </c>
      <c r="P48" s="162">
        <f t="shared" si="15"/>
        <v>0</v>
      </c>
      <c r="Q48" s="162">
        <f t="shared" si="15"/>
        <v>0</v>
      </c>
      <c r="R48" s="162">
        <f t="shared" si="15"/>
        <v>0</v>
      </c>
      <c r="S48" s="264">
        <f t="shared" si="15"/>
        <v>0</v>
      </c>
      <c r="T48" s="236">
        <f t="shared" si="4"/>
        <v>331047.5</v>
      </c>
      <c r="U48" s="162">
        <f t="shared" si="1"/>
        <v>63714.419999999925</v>
      </c>
      <c r="V48" s="162"/>
      <c r="W48" s="163">
        <f>SUM(H48:S48)</f>
        <v>2381046.92</v>
      </c>
      <c r="X48" s="58"/>
      <c r="Y48" s="202">
        <f t="shared" si="14"/>
        <v>0.59937192296170994</v>
      </c>
      <c r="Z48" s="58"/>
      <c r="AA48" s="182">
        <f>AA47</f>
        <v>2317332.5</v>
      </c>
      <c r="AB48" s="162"/>
      <c r="AC48" s="162">
        <f>AC47</f>
        <v>3972570</v>
      </c>
      <c r="AD48" s="58">
        <f>AD47</f>
        <v>1100</v>
      </c>
      <c r="AE48" s="58"/>
    </row>
    <row r="49" spans="1:31" ht="17" thickTop="1" x14ac:dyDescent="0.2">
      <c r="A49" s="32"/>
      <c r="B49" s="32"/>
      <c r="C49" s="32"/>
      <c r="D49" s="32"/>
      <c r="E49" s="32"/>
      <c r="F49" s="32"/>
      <c r="G49" s="129"/>
      <c r="H49" s="143"/>
      <c r="I49" s="48"/>
      <c r="J49" s="48"/>
      <c r="K49" s="48"/>
      <c r="L49" s="48"/>
      <c r="M49" s="48"/>
      <c r="N49" s="48"/>
      <c r="O49" s="48"/>
      <c r="P49" s="48"/>
      <c r="Q49" s="48"/>
      <c r="R49" s="48"/>
      <c r="S49" s="261"/>
      <c r="T49" s="234" t="s">
        <v>178</v>
      </c>
      <c r="U49" s="48" t="s">
        <v>178</v>
      </c>
      <c r="V49" s="48"/>
      <c r="W49" s="48" t="s">
        <v>178</v>
      </c>
      <c r="X49" s="48"/>
      <c r="Y49" s="48"/>
      <c r="Z49" s="48"/>
      <c r="AA49" s="48"/>
      <c r="AB49" s="48"/>
      <c r="AC49" s="48"/>
      <c r="AD49" s="72"/>
      <c r="AE49" s="72"/>
    </row>
    <row r="50" spans="1:31" ht="16" x14ac:dyDescent="0.2">
      <c r="A50" s="32"/>
      <c r="B50" s="32" t="s">
        <v>56</v>
      </c>
      <c r="C50" s="32"/>
      <c r="D50" s="32"/>
      <c r="E50" s="32"/>
      <c r="F50" s="32"/>
      <c r="G50" s="129"/>
      <c r="H50" s="143"/>
      <c r="I50" s="48"/>
      <c r="J50" s="48"/>
      <c r="K50" s="48"/>
      <c r="L50" s="48"/>
      <c r="M50" s="48"/>
      <c r="N50" s="48"/>
      <c r="O50" s="48"/>
      <c r="P50" s="48"/>
      <c r="Q50" s="48"/>
      <c r="R50" s="48"/>
      <c r="S50" s="261"/>
      <c r="T50" s="234" t="s">
        <v>178</v>
      </c>
      <c r="U50" s="48" t="s">
        <v>178</v>
      </c>
      <c r="V50" s="48"/>
      <c r="W50" s="48" t="s">
        <v>178</v>
      </c>
      <c r="X50" s="48"/>
      <c r="Y50" s="48"/>
      <c r="Z50" s="48"/>
      <c r="AA50" s="48"/>
      <c r="AB50" s="48"/>
      <c r="AC50" s="48"/>
      <c r="AD50" s="72"/>
      <c r="AE50" s="72"/>
    </row>
    <row r="51" spans="1:31" ht="16" x14ac:dyDescent="0.2">
      <c r="A51" s="32"/>
      <c r="B51" s="32"/>
      <c r="C51" s="32" t="s">
        <v>57</v>
      </c>
      <c r="D51" s="32"/>
      <c r="E51" s="32"/>
      <c r="F51" s="32"/>
      <c r="G51" s="129"/>
      <c r="H51" s="143"/>
      <c r="I51" s="48"/>
      <c r="J51" s="48"/>
      <c r="K51" s="48"/>
      <c r="L51" s="48"/>
      <c r="M51" s="48"/>
      <c r="N51" s="48"/>
      <c r="O51" s="48"/>
      <c r="P51" s="48"/>
      <c r="Q51" s="48"/>
      <c r="R51" s="48"/>
      <c r="S51" s="261"/>
      <c r="T51" s="234" t="s">
        <v>178</v>
      </c>
      <c r="U51" s="48" t="s">
        <v>178</v>
      </c>
      <c r="V51" s="48"/>
      <c r="W51" s="48" t="s">
        <v>178</v>
      </c>
      <c r="X51" s="48"/>
      <c r="Y51" s="48"/>
      <c r="Z51" s="48"/>
      <c r="AA51" s="48"/>
      <c r="AB51" s="48"/>
      <c r="AC51" s="48"/>
      <c r="AD51" s="72"/>
      <c r="AE51" s="72"/>
    </row>
    <row r="52" spans="1:31" ht="16" x14ac:dyDescent="0.2">
      <c r="A52" s="32"/>
      <c r="B52" s="32"/>
      <c r="C52" s="32"/>
      <c r="D52" s="99" t="s">
        <v>58</v>
      </c>
      <c r="E52" s="99"/>
      <c r="F52" s="99"/>
      <c r="G52" s="135"/>
      <c r="H52" s="145"/>
      <c r="I52" s="97"/>
      <c r="J52" s="97"/>
      <c r="K52" s="97"/>
      <c r="L52" s="97"/>
      <c r="M52" s="97"/>
      <c r="N52" s="97"/>
      <c r="O52" s="97"/>
      <c r="P52" s="97"/>
      <c r="Q52" s="97"/>
      <c r="R52" s="97"/>
      <c r="S52" s="265"/>
      <c r="T52" s="237" t="s">
        <v>178</v>
      </c>
      <c r="U52" s="97" t="s">
        <v>178</v>
      </c>
      <c r="V52" s="97"/>
      <c r="W52" s="97" t="s">
        <v>178</v>
      </c>
      <c r="X52" s="97"/>
      <c r="Y52" s="97"/>
      <c r="Z52" s="97"/>
      <c r="AA52" s="97"/>
      <c r="AB52" s="97"/>
      <c r="AC52" s="97"/>
      <c r="AD52" s="98"/>
      <c r="AE52" s="98"/>
    </row>
    <row r="53" spans="1:31" ht="16" x14ac:dyDescent="0.2">
      <c r="A53" s="32"/>
      <c r="B53" s="32"/>
      <c r="C53" s="32"/>
      <c r="D53" s="32"/>
      <c r="E53" s="93" t="s">
        <v>59</v>
      </c>
      <c r="F53" s="101"/>
      <c r="G53" s="130"/>
      <c r="H53" s="144"/>
      <c r="I53" s="94"/>
      <c r="J53" s="94"/>
      <c r="K53" s="94"/>
      <c r="L53" s="94"/>
      <c r="M53" s="94"/>
      <c r="N53" s="94"/>
      <c r="O53" s="94"/>
      <c r="P53" s="94"/>
      <c r="Q53" s="94"/>
      <c r="R53" s="94"/>
      <c r="S53" s="266"/>
      <c r="T53" s="238" t="s">
        <v>178</v>
      </c>
      <c r="U53" s="94" t="s">
        <v>178</v>
      </c>
      <c r="V53" s="94" t="s">
        <v>178</v>
      </c>
      <c r="W53" s="94" t="s">
        <v>178</v>
      </c>
      <c r="X53" s="94"/>
      <c r="Y53" s="94"/>
      <c r="Z53" s="94"/>
      <c r="AA53" s="94"/>
      <c r="AB53" s="94"/>
      <c r="AC53" s="94"/>
      <c r="AD53" s="94"/>
      <c r="AE53" s="94"/>
    </row>
    <row r="54" spans="1:31" ht="16" x14ac:dyDescent="0.2">
      <c r="A54" s="32"/>
      <c r="B54" s="32"/>
      <c r="C54" s="32"/>
      <c r="D54" s="32"/>
      <c r="E54" s="32"/>
      <c r="F54" s="32" t="s">
        <v>60</v>
      </c>
      <c r="G54" s="136"/>
      <c r="H54" s="146">
        <v>41358.32</v>
      </c>
      <c r="I54" s="147">
        <v>40133.99</v>
      </c>
      <c r="J54" s="147">
        <v>19323.080000000002</v>
      </c>
      <c r="K54" s="147">
        <v>26512.880000000001</v>
      </c>
      <c r="L54" s="147">
        <v>7345.48</v>
      </c>
      <c r="M54" s="147">
        <v>25540.07</v>
      </c>
      <c r="N54" s="147">
        <v>17200.95</v>
      </c>
      <c r="O54" s="147"/>
      <c r="P54" s="147"/>
      <c r="Q54" s="147"/>
      <c r="R54" s="147"/>
      <c r="S54" s="257"/>
      <c r="T54" s="229">
        <f>AC54/12</f>
        <v>25000</v>
      </c>
      <c r="U54" s="147">
        <f t="shared" si="1"/>
        <v>2414.7700000000186</v>
      </c>
      <c r="V54" s="147"/>
      <c r="W54" s="148">
        <f>SUM(H54:S54)</f>
        <v>177414.77000000002</v>
      </c>
      <c r="X54" s="48"/>
      <c r="Y54" s="197">
        <f>W54/AC54</f>
        <v>0.59138256666666678</v>
      </c>
      <c r="Z54" s="48"/>
      <c r="AA54" s="178">
        <f>AC54/12*$AI$5</f>
        <v>175000</v>
      </c>
      <c r="AB54" s="147"/>
      <c r="AC54" s="147">
        <v>300000</v>
      </c>
      <c r="AD54" s="183"/>
      <c r="AE54" s="183">
        <f>AC54-W54</f>
        <v>122585.22999999998</v>
      </c>
    </row>
    <row r="55" spans="1:31" ht="16" x14ac:dyDescent="0.2">
      <c r="A55" s="32"/>
      <c r="B55" s="32"/>
      <c r="C55" s="32"/>
      <c r="D55" s="32"/>
      <c r="E55" s="32"/>
      <c r="F55" s="32" t="s">
        <v>61</v>
      </c>
      <c r="G55" s="136"/>
      <c r="H55" s="146"/>
      <c r="I55" s="147">
        <v>1360.94</v>
      </c>
      <c r="J55" s="147"/>
      <c r="K55" s="147">
        <v>3082.2</v>
      </c>
      <c r="L55" s="147"/>
      <c r="M55" s="147">
        <v>382.04</v>
      </c>
      <c r="N55" s="147"/>
      <c r="O55" s="147"/>
      <c r="P55" s="147"/>
      <c r="Q55" s="147"/>
      <c r="R55" s="147"/>
      <c r="S55" s="257"/>
      <c r="T55" s="229">
        <f>AC55/12</f>
        <v>500</v>
      </c>
      <c r="U55" s="147">
        <f t="shared" si="1"/>
        <v>1325.1799999999994</v>
      </c>
      <c r="V55" s="147"/>
      <c r="W55" s="148">
        <f>SUM(H55:S55)</f>
        <v>4825.1799999999994</v>
      </c>
      <c r="X55" s="48"/>
      <c r="Y55" s="197">
        <f t="shared" ref="Y55:Y56" si="17">W55/AC55</f>
        <v>0.80419666666666656</v>
      </c>
      <c r="Z55" s="48"/>
      <c r="AA55" s="178">
        <f>AC55/12*$AI$5</f>
        <v>3500</v>
      </c>
      <c r="AB55" s="147"/>
      <c r="AC55" s="147">
        <v>6000</v>
      </c>
      <c r="AD55" s="183"/>
      <c r="AE55" s="183">
        <f>AC55-W55</f>
        <v>1174.8200000000006</v>
      </c>
    </row>
    <row r="56" spans="1:31" ht="16" x14ac:dyDescent="0.2">
      <c r="A56" s="32"/>
      <c r="B56" s="32"/>
      <c r="C56" s="32"/>
      <c r="D56" s="32"/>
      <c r="E56" s="105" t="s">
        <v>62</v>
      </c>
      <c r="F56" s="108"/>
      <c r="G56" s="131"/>
      <c r="H56" s="151">
        <f>H54+H55</f>
        <v>41358.32</v>
      </c>
      <c r="I56" s="152">
        <f t="shared" ref="I56" si="18">SUM(I50:I55)</f>
        <v>41494.93</v>
      </c>
      <c r="J56" s="152">
        <f t="shared" ref="J56:O56" si="19">SUM(J50:J55)</f>
        <v>19323.080000000002</v>
      </c>
      <c r="K56" s="152">
        <f t="shared" si="19"/>
        <v>29595.08</v>
      </c>
      <c r="L56" s="152">
        <f t="shared" si="19"/>
        <v>7345.48</v>
      </c>
      <c r="M56" s="152">
        <f t="shared" si="19"/>
        <v>25922.11</v>
      </c>
      <c r="N56" s="152">
        <f t="shared" si="19"/>
        <v>17200.95</v>
      </c>
      <c r="O56" s="152">
        <f t="shared" si="19"/>
        <v>0</v>
      </c>
      <c r="P56" s="152">
        <f>P54+P55</f>
        <v>0</v>
      </c>
      <c r="Q56" s="152">
        <f t="shared" ref="Q56:R56" si="20">SUM(Q50:Q55)</f>
        <v>0</v>
      </c>
      <c r="R56" s="152">
        <f t="shared" si="20"/>
        <v>0</v>
      </c>
      <c r="S56" s="259">
        <f>S55+S54</f>
        <v>0</v>
      </c>
      <c r="T56" s="231"/>
      <c r="U56" s="152">
        <f t="shared" ref="U56" si="21">SUM(U54:U55)</f>
        <v>3739.950000000018</v>
      </c>
      <c r="V56" s="152"/>
      <c r="W56" s="152">
        <f>SUM(H56:S56)</f>
        <v>182239.95</v>
      </c>
      <c r="X56" s="103"/>
      <c r="Y56" s="200">
        <f t="shared" si="17"/>
        <v>0.59555539215686282</v>
      </c>
      <c r="Z56" s="103"/>
      <c r="AA56" s="152">
        <f>SUM(AA53:AA55)</f>
        <v>178500</v>
      </c>
      <c r="AB56" s="152"/>
      <c r="AC56" s="152">
        <f>SUM(AC53:AC55)</f>
        <v>306000</v>
      </c>
      <c r="AD56" s="152"/>
      <c r="AE56" s="152">
        <f>SUM(AE53:AE55)</f>
        <v>123760.04999999999</v>
      </c>
    </row>
    <row r="57" spans="1:31" ht="16" x14ac:dyDescent="0.2">
      <c r="A57" s="32"/>
      <c r="B57" s="32"/>
      <c r="C57" s="32"/>
      <c r="D57" s="32"/>
      <c r="E57" s="32"/>
      <c r="F57" s="22"/>
      <c r="G57" s="129"/>
      <c r="H57" s="146"/>
      <c r="I57" s="147"/>
      <c r="J57" s="147"/>
      <c r="K57" s="147"/>
      <c r="L57" s="147"/>
      <c r="M57" s="147"/>
      <c r="N57" s="147"/>
      <c r="O57" s="147"/>
      <c r="P57" s="147"/>
      <c r="Q57" s="147"/>
      <c r="R57" s="147"/>
      <c r="S57" s="257"/>
      <c r="T57" s="229"/>
      <c r="U57" s="147"/>
      <c r="V57" s="147"/>
      <c r="W57" s="148"/>
      <c r="X57" s="48"/>
      <c r="Y57" s="48"/>
      <c r="Z57" s="48"/>
      <c r="AA57" s="178"/>
      <c r="AB57" s="147"/>
      <c r="AC57" s="147"/>
      <c r="AD57" s="147"/>
      <c r="AE57" s="147"/>
    </row>
    <row r="58" spans="1:31" ht="16" x14ac:dyDescent="0.2">
      <c r="A58" s="32"/>
      <c r="B58" s="32"/>
      <c r="C58" s="32"/>
      <c r="D58" s="32"/>
      <c r="E58" s="93" t="s">
        <v>63</v>
      </c>
      <c r="F58" s="101"/>
      <c r="G58" s="130"/>
      <c r="H58" s="149"/>
      <c r="I58" s="150"/>
      <c r="J58" s="150"/>
      <c r="K58" s="150"/>
      <c r="L58" s="150"/>
      <c r="M58" s="150"/>
      <c r="N58" s="150"/>
      <c r="O58" s="150"/>
      <c r="P58" s="150"/>
      <c r="Q58" s="150"/>
      <c r="R58" s="150"/>
      <c r="S58" s="258"/>
      <c r="T58" s="230"/>
      <c r="U58" s="150" t="s">
        <v>178</v>
      </c>
      <c r="V58" s="150"/>
      <c r="W58" s="150">
        <f t="shared" ref="W58:W71" si="22">SUM(H58:S58)</f>
        <v>0</v>
      </c>
      <c r="X58" s="94"/>
      <c r="Y58" s="94"/>
      <c r="Z58" s="94"/>
      <c r="AA58" s="150"/>
      <c r="AB58" s="150"/>
      <c r="AC58" s="150"/>
      <c r="AD58" s="184"/>
      <c r="AE58" s="184"/>
    </row>
    <row r="59" spans="1:31" ht="16" x14ac:dyDescent="0.2">
      <c r="A59" s="32"/>
      <c r="B59" s="32"/>
      <c r="C59" s="32"/>
      <c r="D59" s="32"/>
      <c r="E59" s="32"/>
      <c r="F59" s="32" t="s">
        <v>64</v>
      </c>
      <c r="G59" s="129"/>
      <c r="H59" s="146">
        <v>19236.53</v>
      </c>
      <c r="I59" s="147">
        <v>18463.89</v>
      </c>
      <c r="J59" s="147">
        <v>9987.27</v>
      </c>
      <c r="K59" s="147">
        <v>14021.83</v>
      </c>
      <c r="L59" s="147">
        <v>3230.33</v>
      </c>
      <c r="M59" s="147">
        <v>12338.08</v>
      </c>
      <c r="N59" s="147">
        <v>6022.61</v>
      </c>
      <c r="O59" s="147"/>
      <c r="P59" s="147"/>
      <c r="Q59" s="147"/>
      <c r="R59" s="147"/>
      <c r="S59" s="257"/>
      <c r="T59" s="229">
        <f>AC59/12</f>
        <v>11250</v>
      </c>
      <c r="U59" s="147">
        <f>W59-AA59</f>
        <v>4550.5400000000081</v>
      </c>
      <c r="V59" s="147"/>
      <c r="W59" s="148">
        <f t="shared" si="22"/>
        <v>83300.540000000008</v>
      </c>
      <c r="X59" s="48"/>
      <c r="Y59" s="197">
        <f t="shared" ref="Y59:Y71" si="23">W59/AC59</f>
        <v>0.61704103703703705</v>
      </c>
      <c r="Z59" s="48"/>
      <c r="AA59" s="178">
        <f>AC59/12*$AI$5</f>
        <v>78750</v>
      </c>
      <c r="AB59" s="147"/>
      <c r="AC59" s="147">
        <v>135000</v>
      </c>
      <c r="AD59" s="183"/>
      <c r="AE59" s="183">
        <f>AC59-W59</f>
        <v>51699.459999999992</v>
      </c>
    </row>
    <row r="60" spans="1:31" ht="16" x14ac:dyDescent="0.2">
      <c r="A60" s="32"/>
      <c r="B60" s="32"/>
      <c r="C60" s="32"/>
      <c r="D60" s="32"/>
      <c r="E60" s="32"/>
      <c r="F60" s="32" t="s">
        <v>177</v>
      </c>
      <c r="G60" s="129"/>
      <c r="H60" s="146">
        <v>963.35</v>
      </c>
      <c r="I60" s="147">
        <v>795.81</v>
      </c>
      <c r="J60" s="147"/>
      <c r="K60" s="147">
        <v>4774.76</v>
      </c>
      <c r="L60" s="147"/>
      <c r="M60" s="147"/>
      <c r="N60" s="147"/>
      <c r="O60" s="147"/>
      <c r="P60" s="147"/>
      <c r="Q60" s="147"/>
      <c r="R60" s="147"/>
      <c r="S60" s="257"/>
      <c r="T60" s="229">
        <f>AC60/12</f>
        <v>416.66666666666669</v>
      </c>
      <c r="U60" s="147">
        <f>W60-AA60</f>
        <v>3617.2533333333331</v>
      </c>
      <c r="V60" s="147"/>
      <c r="W60" s="148">
        <f t="shared" si="22"/>
        <v>6533.92</v>
      </c>
      <c r="X60" s="48"/>
      <c r="Y60" s="197">
        <f t="shared" si="23"/>
        <v>1.3067839999999999</v>
      </c>
      <c r="Z60" s="48"/>
      <c r="AA60" s="178">
        <f>AC60/12*$AI$5</f>
        <v>2916.666666666667</v>
      </c>
      <c r="AB60" s="147"/>
      <c r="AC60" s="147">
        <v>5000</v>
      </c>
      <c r="AD60" s="183"/>
      <c r="AE60" s="183">
        <f>AC60-W60</f>
        <v>-1533.92</v>
      </c>
    </row>
    <row r="61" spans="1:31" ht="16" x14ac:dyDescent="0.2">
      <c r="A61" s="32"/>
      <c r="B61" s="32"/>
      <c r="C61" s="32"/>
      <c r="D61" s="32"/>
      <c r="E61" s="105" t="s">
        <v>65</v>
      </c>
      <c r="F61" s="108"/>
      <c r="G61" s="131"/>
      <c r="H61" s="151">
        <f t="shared" ref="H61:O61" si="24">H59+H60</f>
        <v>20199.879999999997</v>
      </c>
      <c r="I61" s="152">
        <f t="shared" si="24"/>
        <v>19259.7</v>
      </c>
      <c r="J61" s="152">
        <f t="shared" si="24"/>
        <v>9987.27</v>
      </c>
      <c r="K61" s="152">
        <f t="shared" si="24"/>
        <v>18796.59</v>
      </c>
      <c r="L61" s="152">
        <f t="shared" si="24"/>
        <v>3230.33</v>
      </c>
      <c r="M61" s="152">
        <f t="shared" si="24"/>
        <v>12338.08</v>
      </c>
      <c r="N61" s="152">
        <f t="shared" si="24"/>
        <v>6022.61</v>
      </c>
      <c r="O61" s="152">
        <f t="shared" si="24"/>
        <v>0</v>
      </c>
      <c r="P61" s="152">
        <f>P60+P59</f>
        <v>0</v>
      </c>
      <c r="Q61" s="152">
        <f>Q59+Q60</f>
        <v>0</v>
      </c>
      <c r="R61" s="152">
        <f>R59+R60</f>
        <v>0</v>
      </c>
      <c r="S61" s="259">
        <f>S59+S60</f>
        <v>0</v>
      </c>
      <c r="T61" s="231"/>
      <c r="U61" s="152">
        <f>W61-AA61</f>
        <v>8167.7933333333349</v>
      </c>
      <c r="V61" s="152"/>
      <c r="W61" s="152">
        <f t="shared" si="22"/>
        <v>89834.46</v>
      </c>
      <c r="X61" s="103"/>
      <c r="Y61" s="200">
        <f t="shared" si="23"/>
        <v>0.64167471428571432</v>
      </c>
      <c r="Z61" s="103"/>
      <c r="AA61" s="152">
        <f>SUM(AA59:AA60)</f>
        <v>81666.666666666672</v>
      </c>
      <c r="AB61" s="152"/>
      <c r="AC61" s="152">
        <f>SUM(AC59:AC60)</f>
        <v>140000</v>
      </c>
      <c r="AD61" s="152"/>
      <c r="AE61" s="152">
        <f>SUM(AE59:AE60)</f>
        <v>50165.539999999994</v>
      </c>
    </row>
    <row r="62" spans="1:31" ht="17" thickBot="1" x14ac:dyDescent="0.25">
      <c r="A62" s="32"/>
      <c r="B62" s="32"/>
      <c r="C62" s="32"/>
      <c r="D62" s="107" t="s">
        <v>66</v>
      </c>
      <c r="E62" s="107"/>
      <c r="F62" s="107"/>
      <c r="G62" s="137"/>
      <c r="H62" s="164">
        <f>ROUND(H52+H56+H61,5)</f>
        <v>61558.2</v>
      </c>
      <c r="I62" s="165">
        <f>ROUND(I52+I56+I61,5)</f>
        <v>60754.63</v>
      </c>
      <c r="J62" s="165">
        <f t="shared" ref="J62:S62" si="25">ROUND(J52+J56+J61,5)</f>
        <v>29310.35</v>
      </c>
      <c r="K62" s="165">
        <f>ROUND(K52+K56+K61,5)</f>
        <v>48391.67</v>
      </c>
      <c r="L62" s="165">
        <f>ROUND(L52+L56+L61,5)</f>
        <v>10575.81</v>
      </c>
      <c r="M62" s="165">
        <f t="shared" ref="M62" si="26">ROUND(M52+M56+M61,5)</f>
        <v>38260.19</v>
      </c>
      <c r="N62" s="165">
        <f t="shared" si="25"/>
        <v>23223.56</v>
      </c>
      <c r="O62" s="165">
        <f t="shared" si="25"/>
        <v>0</v>
      </c>
      <c r="P62" s="165">
        <f t="shared" si="25"/>
        <v>0</v>
      </c>
      <c r="Q62" s="165">
        <f t="shared" si="25"/>
        <v>0</v>
      </c>
      <c r="R62" s="165">
        <f t="shared" si="25"/>
        <v>0</v>
      </c>
      <c r="S62" s="267">
        <f t="shared" si="25"/>
        <v>0</v>
      </c>
      <c r="T62" s="239">
        <f t="shared" si="4"/>
        <v>37166.666666666664</v>
      </c>
      <c r="U62" s="165">
        <f t="shared" si="1"/>
        <v>11907.743333333288</v>
      </c>
      <c r="V62" s="165"/>
      <c r="W62" s="165">
        <f t="shared" si="22"/>
        <v>272074.40999999997</v>
      </c>
      <c r="X62" s="100"/>
      <c r="Y62" s="203">
        <f t="shared" si="23"/>
        <v>0.61003230941704034</v>
      </c>
      <c r="Z62" s="100"/>
      <c r="AA62" s="165">
        <f>SUM(AA52+AA56+AA61)</f>
        <v>260166.66666666669</v>
      </c>
      <c r="AB62" s="165">
        <f>SUM(AB52+AB56+AB61)</f>
        <v>0</v>
      </c>
      <c r="AC62" s="165">
        <f>SUM(AC52+AC56+AC61)</f>
        <v>446000</v>
      </c>
      <c r="AD62" s="185"/>
      <c r="AE62" s="165">
        <f>SUM(AE52+AE56+AE61)</f>
        <v>173925.58999999997</v>
      </c>
    </row>
    <row r="63" spans="1:31" ht="16" x14ac:dyDescent="0.2">
      <c r="A63" s="32"/>
      <c r="B63" s="32"/>
      <c r="C63" s="32"/>
      <c r="D63" s="32" t="s">
        <v>67</v>
      </c>
      <c r="E63" s="32"/>
      <c r="F63" s="32"/>
      <c r="G63" s="129"/>
      <c r="H63" s="146">
        <v>465.04</v>
      </c>
      <c r="I63" s="147"/>
      <c r="J63" s="147">
        <v>430.06</v>
      </c>
      <c r="K63" s="147"/>
      <c r="L63" s="147">
        <v>518.32000000000005</v>
      </c>
      <c r="M63" s="147">
        <v>1732.93</v>
      </c>
      <c r="N63" s="147">
        <v>1003.56</v>
      </c>
      <c r="O63" s="147"/>
      <c r="P63" s="147"/>
      <c r="Q63" s="147"/>
      <c r="R63" s="147"/>
      <c r="S63" s="257"/>
      <c r="T63" s="229">
        <f>AC63/12</f>
        <v>1000</v>
      </c>
      <c r="U63" s="147">
        <f t="shared" si="1"/>
        <v>-2850.09</v>
      </c>
      <c r="V63" s="147"/>
      <c r="W63" s="148">
        <f t="shared" si="22"/>
        <v>4149.91</v>
      </c>
      <c r="X63" s="48"/>
      <c r="Y63" s="197">
        <f t="shared" si="23"/>
        <v>0.34582583333333333</v>
      </c>
      <c r="Z63" s="48"/>
      <c r="AA63" s="178">
        <f t="shared" ref="AA63:AA70" si="27">AC63/12*$AI$5</f>
        <v>7000</v>
      </c>
      <c r="AB63" s="147"/>
      <c r="AC63" s="147">
        <v>12000</v>
      </c>
      <c r="AD63" s="183"/>
      <c r="AE63" s="183">
        <f t="shared" ref="AE63:AE70" si="28">AC63-W63</f>
        <v>7850.09</v>
      </c>
    </row>
    <row r="64" spans="1:31" ht="16" x14ac:dyDescent="0.2">
      <c r="A64" s="32"/>
      <c r="B64" s="32"/>
      <c r="C64" s="32"/>
      <c r="D64" s="32" t="s">
        <v>68</v>
      </c>
      <c r="E64" s="32"/>
      <c r="F64" s="32"/>
      <c r="G64" s="129"/>
      <c r="H64" s="146"/>
      <c r="I64" s="147"/>
      <c r="J64" s="147"/>
      <c r="K64" s="147"/>
      <c r="L64" s="147"/>
      <c r="M64" s="147"/>
      <c r="N64" s="147"/>
      <c r="O64" s="147"/>
      <c r="P64" s="147"/>
      <c r="Q64" s="147"/>
      <c r="R64" s="147"/>
      <c r="S64" s="257"/>
      <c r="T64" s="229">
        <f t="shared" ref="T64:T113" si="29">AC64/12</f>
        <v>0</v>
      </c>
      <c r="U64" s="147">
        <f t="shared" si="1"/>
        <v>0</v>
      </c>
      <c r="V64" s="147"/>
      <c r="W64" s="148">
        <f t="shared" si="22"/>
        <v>0</v>
      </c>
      <c r="X64" s="48"/>
      <c r="Y64" s="209">
        <v>0</v>
      </c>
      <c r="Z64" s="48"/>
      <c r="AA64" s="178">
        <f t="shared" si="27"/>
        <v>0</v>
      </c>
      <c r="AB64" s="147"/>
      <c r="AC64" s="147"/>
      <c r="AD64" s="183"/>
      <c r="AE64" s="183">
        <f t="shared" si="28"/>
        <v>0</v>
      </c>
    </row>
    <row r="65" spans="1:31" ht="16" x14ac:dyDescent="0.2">
      <c r="A65" s="32"/>
      <c r="B65" s="32"/>
      <c r="C65" s="32"/>
      <c r="D65" s="32" t="s">
        <v>179</v>
      </c>
      <c r="E65" s="32"/>
      <c r="F65" s="32"/>
      <c r="G65" s="129"/>
      <c r="H65" s="146"/>
      <c r="I65" s="147"/>
      <c r="J65" s="147"/>
      <c r="K65" s="147"/>
      <c r="L65" s="147"/>
      <c r="M65" s="147"/>
      <c r="N65" s="147"/>
      <c r="O65" s="147"/>
      <c r="P65" s="147"/>
      <c r="Q65" s="147"/>
      <c r="R65" s="147"/>
      <c r="S65" s="257"/>
      <c r="T65" s="229">
        <f t="shared" si="29"/>
        <v>416.66666666666669</v>
      </c>
      <c r="U65" s="147">
        <f t="shared" si="1"/>
        <v>-2916.666666666667</v>
      </c>
      <c r="V65" s="147"/>
      <c r="W65" s="148">
        <f t="shared" si="22"/>
        <v>0</v>
      </c>
      <c r="X65" s="48"/>
      <c r="Y65" s="197">
        <v>0</v>
      </c>
      <c r="Z65" s="48"/>
      <c r="AA65" s="178">
        <f t="shared" si="27"/>
        <v>2916.666666666667</v>
      </c>
      <c r="AB65" s="147"/>
      <c r="AC65" s="147">
        <v>5000</v>
      </c>
      <c r="AD65" s="183"/>
      <c r="AE65" s="183">
        <f t="shared" si="28"/>
        <v>5000</v>
      </c>
    </row>
    <row r="66" spans="1:31" ht="16" x14ac:dyDescent="0.2">
      <c r="A66" s="32"/>
      <c r="B66" s="32"/>
      <c r="C66" s="32"/>
      <c r="D66" s="32" t="s">
        <v>69</v>
      </c>
      <c r="E66" s="32"/>
      <c r="F66" s="32"/>
      <c r="G66" s="129"/>
      <c r="H66" s="146"/>
      <c r="I66" s="147"/>
      <c r="J66" s="147"/>
      <c r="K66" s="147"/>
      <c r="L66" s="147"/>
      <c r="M66" s="147"/>
      <c r="N66" s="147"/>
      <c r="O66" s="147"/>
      <c r="P66" s="147"/>
      <c r="Q66" s="147"/>
      <c r="R66" s="147"/>
      <c r="S66" s="257"/>
      <c r="T66" s="229">
        <f t="shared" si="29"/>
        <v>0</v>
      </c>
      <c r="U66" s="147">
        <f t="shared" si="1"/>
        <v>0</v>
      </c>
      <c r="V66" s="147"/>
      <c r="W66" s="148">
        <f t="shared" si="22"/>
        <v>0</v>
      </c>
      <c r="X66" s="48"/>
      <c r="Y66" s="209">
        <v>0</v>
      </c>
      <c r="Z66" s="48"/>
      <c r="AA66" s="178">
        <f t="shared" si="27"/>
        <v>0</v>
      </c>
      <c r="AB66" s="147"/>
      <c r="AC66" s="147">
        <v>0</v>
      </c>
      <c r="AD66" s="183"/>
      <c r="AE66" s="183">
        <f t="shared" si="28"/>
        <v>0</v>
      </c>
    </row>
    <row r="67" spans="1:31" ht="16" x14ac:dyDescent="0.2">
      <c r="A67" s="32"/>
      <c r="B67" s="32"/>
      <c r="C67" s="32"/>
      <c r="D67" s="32" t="s">
        <v>70</v>
      </c>
      <c r="E67" s="32"/>
      <c r="F67" s="32"/>
      <c r="G67" s="129"/>
      <c r="H67" s="146"/>
      <c r="I67" s="147">
        <v>2462.52</v>
      </c>
      <c r="J67" s="147">
        <v>6302.53</v>
      </c>
      <c r="K67" s="147">
        <v>512.01</v>
      </c>
      <c r="L67" s="147">
        <v>844.81</v>
      </c>
      <c r="M67" s="147"/>
      <c r="N67" s="147"/>
      <c r="O67" s="147"/>
      <c r="P67" s="147"/>
      <c r="Q67" s="147"/>
      <c r="R67" s="147"/>
      <c r="S67" s="257"/>
      <c r="T67" s="229">
        <f t="shared" si="29"/>
        <v>1250</v>
      </c>
      <c r="U67" s="147">
        <f t="shared" si="1"/>
        <v>1371.869999999999</v>
      </c>
      <c r="V67" s="147"/>
      <c r="W67" s="148">
        <f t="shared" si="22"/>
        <v>10121.869999999999</v>
      </c>
      <c r="X67" s="48"/>
      <c r="Y67" s="197">
        <f t="shared" si="23"/>
        <v>0.6747913333333333</v>
      </c>
      <c r="Z67" s="48"/>
      <c r="AA67" s="178">
        <f t="shared" si="27"/>
        <v>8750</v>
      </c>
      <c r="AB67" s="147"/>
      <c r="AC67" s="147">
        <v>15000</v>
      </c>
      <c r="AD67" s="183"/>
      <c r="AE67" s="183">
        <f t="shared" si="28"/>
        <v>4878.130000000001</v>
      </c>
    </row>
    <row r="68" spans="1:31" ht="16" x14ac:dyDescent="0.2">
      <c r="A68" s="32"/>
      <c r="B68" s="32"/>
      <c r="C68" s="32"/>
      <c r="D68" s="32" t="s">
        <v>71</v>
      </c>
      <c r="E68" s="32"/>
      <c r="F68" s="32"/>
      <c r="G68" s="129"/>
      <c r="H68" s="146"/>
      <c r="I68" s="147"/>
      <c r="J68" s="147"/>
      <c r="K68" s="147"/>
      <c r="L68" s="147"/>
      <c r="M68" s="147"/>
      <c r="N68" s="147"/>
      <c r="O68" s="147"/>
      <c r="P68" s="147"/>
      <c r="Q68" s="147"/>
      <c r="R68" s="147"/>
      <c r="S68" s="257"/>
      <c r="T68" s="229">
        <f t="shared" si="29"/>
        <v>416.66666666666669</v>
      </c>
      <c r="U68" s="147">
        <f t="shared" si="1"/>
        <v>-2916.666666666667</v>
      </c>
      <c r="V68" s="147"/>
      <c r="W68" s="148">
        <f t="shared" si="22"/>
        <v>0</v>
      </c>
      <c r="X68" s="48"/>
      <c r="Y68" s="197">
        <f t="shared" si="23"/>
        <v>0</v>
      </c>
      <c r="Z68" s="48"/>
      <c r="AA68" s="178">
        <f t="shared" si="27"/>
        <v>2916.666666666667</v>
      </c>
      <c r="AB68" s="147"/>
      <c r="AC68" s="147">
        <v>5000</v>
      </c>
      <c r="AD68" s="183"/>
      <c r="AE68" s="183">
        <f t="shared" si="28"/>
        <v>5000</v>
      </c>
    </row>
    <row r="69" spans="1:31" ht="16" x14ac:dyDescent="0.2">
      <c r="A69" s="32"/>
      <c r="B69" s="32"/>
      <c r="C69" s="32"/>
      <c r="D69" s="32" t="s">
        <v>72</v>
      </c>
      <c r="E69" s="32"/>
      <c r="F69" s="32"/>
      <c r="G69" s="129"/>
      <c r="H69" s="146"/>
      <c r="I69" s="147"/>
      <c r="J69" s="147"/>
      <c r="K69" s="147"/>
      <c r="L69" s="147"/>
      <c r="M69" s="147"/>
      <c r="N69" s="147"/>
      <c r="O69" s="147"/>
      <c r="P69" s="147"/>
      <c r="Q69" s="147"/>
      <c r="R69" s="147"/>
      <c r="S69" s="257"/>
      <c r="T69" s="229">
        <f t="shared" si="29"/>
        <v>0</v>
      </c>
      <c r="U69" s="147">
        <f t="shared" si="1"/>
        <v>0</v>
      </c>
      <c r="V69" s="147"/>
      <c r="W69" s="148">
        <f t="shared" si="22"/>
        <v>0</v>
      </c>
      <c r="X69" s="48"/>
      <c r="Y69" s="197" t="e">
        <f t="shared" si="23"/>
        <v>#DIV/0!</v>
      </c>
      <c r="Z69" s="48"/>
      <c r="AA69" s="178">
        <f t="shared" si="27"/>
        <v>0</v>
      </c>
      <c r="AB69" s="147"/>
      <c r="AC69" s="147">
        <v>0</v>
      </c>
      <c r="AD69" s="183"/>
      <c r="AE69" s="183">
        <f t="shared" si="28"/>
        <v>0</v>
      </c>
    </row>
    <row r="70" spans="1:31" ht="17" thickBot="1" x14ac:dyDescent="0.25">
      <c r="A70" s="32"/>
      <c r="B70" s="32"/>
      <c r="C70" s="32"/>
      <c r="D70" s="32" t="s">
        <v>211</v>
      </c>
      <c r="E70" s="32"/>
      <c r="F70" s="32"/>
      <c r="G70" s="129"/>
      <c r="H70" s="146"/>
      <c r="I70" s="147"/>
      <c r="J70" s="147"/>
      <c r="K70" s="147"/>
      <c r="L70" s="147"/>
      <c r="M70" s="147"/>
      <c r="N70" s="147"/>
      <c r="O70" s="147"/>
      <c r="P70" s="147"/>
      <c r="Q70" s="147"/>
      <c r="R70" s="147"/>
      <c r="S70" s="257"/>
      <c r="T70" s="229">
        <f t="shared" si="29"/>
        <v>0</v>
      </c>
      <c r="U70" s="147">
        <f t="shared" si="1"/>
        <v>0</v>
      </c>
      <c r="V70" s="147"/>
      <c r="W70" s="148">
        <f t="shared" si="22"/>
        <v>0</v>
      </c>
      <c r="X70" s="48"/>
      <c r="Y70" s="197" t="e">
        <f t="shared" si="23"/>
        <v>#DIV/0!</v>
      </c>
      <c r="Z70" s="48"/>
      <c r="AA70" s="178">
        <f t="shared" si="27"/>
        <v>0</v>
      </c>
      <c r="AB70" s="147"/>
      <c r="AC70" s="147">
        <v>0</v>
      </c>
      <c r="AD70" s="183"/>
      <c r="AE70" s="183">
        <f t="shared" si="28"/>
        <v>0</v>
      </c>
    </row>
    <row r="71" spans="1:31" ht="18" thickTop="1" thickBot="1" x14ac:dyDescent="0.25">
      <c r="A71" s="32"/>
      <c r="B71" s="32"/>
      <c r="C71" s="110" t="s">
        <v>73</v>
      </c>
      <c r="D71" s="110"/>
      <c r="E71" s="110"/>
      <c r="F71" s="110"/>
      <c r="G71" s="138"/>
      <c r="H71" s="166">
        <f>SUM(H62:H70)</f>
        <v>62023.24</v>
      </c>
      <c r="I71" s="167">
        <f>SUM(I62:I70)</f>
        <v>63217.149999999994</v>
      </c>
      <c r="J71" s="167">
        <f t="shared" ref="J71:N71" si="30">SUM(J62:J70)</f>
        <v>36042.94</v>
      </c>
      <c r="K71" s="167">
        <f>SUM(K62:K70)</f>
        <v>48903.68</v>
      </c>
      <c r="L71" s="167">
        <f>SUM(L62:L70)</f>
        <v>11938.939999999999</v>
      </c>
      <c r="M71" s="167">
        <f t="shared" ref="M71" si="31">SUM(M62:M70)</f>
        <v>39993.120000000003</v>
      </c>
      <c r="N71" s="167">
        <f t="shared" si="30"/>
        <v>24227.120000000003</v>
      </c>
      <c r="O71" s="167">
        <f t="shared" ref="O71:S71" si="32">SUM(O62:O69)</f>
        <v>0</v>
      </c>
      <c r="P71" s="167">
        <f t="shared" si="32"/>
        <v>0</v>
      </c>
      <c r="Q71" s="167">
        <f t="shared" si="32"/>
        <v>0</v>
      </c>
      <c r="R71" s="167">
        <f t="shared" si="32"/>
        <v>0</v>
      </c>
      <c r="S71" s="268">
        <f t="shared" si="32"/>
        <v>0</v>
      </c>
      <c r="T71" s="240">
        <f t="shared" si="29"/>
        <v>40250</v>
      </c>
      <c r="U71" s="167">
        <f t="shared" si="1"/>
        <v>4596.1899999999441</v>
      </c>
      <c r="V71" s="167"/>
      <c r="W71" s="167">
        <f t="shared" si="22"/>
        <v>286346.19</v>
      </c>
      <c r="X71" s="111"/>
      <c r="Y71" s="204">
        <f t="shared" si="23"/>
        <v>0.59284925465838512</v>
      </c>
      <c r="Z71" s="111"/>
      <c r="AA71" s="167">
        <f>SUM(AA62:AA70)</f>
        <v>281750.00000000006</v>
      </c>
      <c r="AB71" s="167">
        <f>SUM(AB62:AB69)</f>
        <v>0</v>
      </c>
      <c r="AC71" s="167">
        <f>SUM(AC62:AC70)</f>
        <v>483000</v>
      </c>
      <c r="AD71" s="186"/>
      <c r="AE71" s="167">
        <f>SUM(AE62:AE70)</f>
        <v>196653.80999999997</v>
      </c>
    </row>
    <row r="72" spans="1:31" ht="17" thickTop="1" x14ac:dyDescent="0.2">
      <c r="A72" s="32"/>
      <c r="B72" s="32"/>
      <c r="C72" s="32" t="s">
        <v>74</v>
      </c>
      <c r="D72" s="32"/>
      <c r="E72" s="32"/>
      <c r="F72" s="32"/>
      <c r="G72" s="129"/>
      <c r="H72" s="143"/>
      <c r="I72" s="48"/>
      <c r="J72" s="48"/>
      <c r="K72" s="48"/>
      <c r="L72" s="48"/>
      <c r="M72" s="48"/>
      <c r="N72" s="48"/>
      <c r="O72" s="48"/>
      <c r="P72" s="48"/>
      <c r="Q72" s="48"/>
      <c r="R72" s="48"/>
      <c r="S72" s="261"/>
      <c r="T72" s="234"/>
      <c r="U72" s="48"/>
      <c r="V72" s="48"/>
      <c r="W72" s="48"/>
      <c r="X72" s="48"/>
      <c r="Y72" s="48"/>
      <c r="Z72" s="48"/>
      <c r="AA72" s="147"/>
      <c r="AB72" s="147"/>
      <c r="AC72" s="147"/>
      <c r="AD72" s="183"/>
      <c r="AE72" s="183"/>
    </row>
    <row r="73" spans="1:31" ht="16" x14ac:dyDescent="0.2">
      <c r="A73" s="32"/>
      <c r="B73" s="32"/>
      <c r="C73" s="32"/>
      <c r="D73" s="32" t="s">
        <v>241</v>
      </c>
      <c r="E73" s="32"/>
      <c r="F73" s="32"/>
      <c r="G73" s="129"/>
      <c r="H73" s="143"/>
      <c r="I73" s="48"/>
      <c r="J73" s="48"/>
      <c r="K73" s="48">
        <v>181.57</v>
      </c>
      <c r="L73" s="48"/>
      <c r="M73" s="48"/>
      <c r="N73" s="48"/>
      <c r="O73" s="48"/>
      <c r="P73" s="48"/>
      <c r="Q73" s="48"/>
      <c r="R73" s="48"/>
      <c r="S73" s="261"/>
      <c r="T73" s="229">
        <f>AC73/12</f>
        <v>0</v>
      </c>
      <c r="U73" s="147">
        <f t="shared" ref="U73:U139" si="33">W73-AA73</f>
        <v>181.57</v>
      </c>
      <c r="V73" s="48"/>
      <c r="W73" s="148">
        <f>SUM(H73:S73)</f>
        <v>181.57</v>
      </c>
      <c r="X73" s="48"/>
      <c r="Y73" s="48"/>
      <c r="Z73" s="48"/>
      <c r="AA73" s="178">
        <f>AC73/12*$AI$5</f>
        <v>0</v>
      </c>
      <c r="AB73" s="147"/>
      <c r="AC73" s="147">
        <v>0</v>
      </c>
      <c r="AD73" s="183"/>
      <c r="AE73" s="183"/>
    </row>
    <row r="74" spans="1:31" ht="16" x14ac:dyDescent="0.2">
      <c r="A74" s="32"/>
      <c r="B74" s="32"/>
      <c r="C74" s="32"/>
      <c r="D74" s="32" t="s">
        <v>170</v>
      </c>
      <c r="E74" s="32"/>
      <c r="F74" s="32"/>
      <c r="G74" s="129"/>
      <c r="H74" s="146">
        <v>16626.669999999998</v>
      </c>
      <c r="I74" s="147">
        <v>16626.669999999998</v>
      </c>
      <c r="J74" s="147">
        <v>16626.669999999998</v>
      </c>
      <c r="K74" s="147">
        <v>16626.669999999998</v>
      </c>
      <c r="L74" s="147">
        <v>16626.669999999998</v>
      </c>
      <c r="M74" s="147">
        <v>16626.669999999998</v>
      </c>
      <c r="N74" s="147">
        <v>16626.669999999998</v>
      </c>
      <c r="O74" s="147"/>
      <c r="P74" s="147"/>
      <c r="Q74" s="147"/>
      <c r="R74" s="147"/>
      <c r="S74" s="257"/>
      <c r="T74" s="229">
        <f>AC74/12</f>
        <v>14833.333333333334</v>
      </c>
      <c r="U74" s="147">
        <f t="shared" si="33"/>
        <v>12553.356666666645</v>
      </c>
      <c r="V74" s="147"/>
      <c r="W74" s="148">
        <f>SUM(H74:S74)</f>
        <v>116386.68999999999</v>
      </c>
      <c r="X74" s="48"/>
      <c r="Y74" s="197">
        <f t="shared" ref="Y74" si="34">W74/AC74</f>
        <v>0.653857808988764</v>
      </c>
      <c r="Z74" s="48"/>
      <c r="AA74" s="178">
        <f>AC74/12*$AI$5</f>
        <v>103833.33333333334</v>
      </c>
      <c r="AB74" s="147"/>
      <c r="AC74" s="147">
        <v>178000</v>
      </c>
      <c r="AD74" s="183"/>
      <c r="AE74" s="183">
        <f>AC74-W74</f>
        <v>61613.310000000012</v>
      </c>
    </row>
    <row r="75" spans="1:31" ht="16" x14ac:dyDescent="0.2">
      <c r="A75" s="32"/>
      <c r="B75" s="32"/>
      <c r="C75" s="32"/>
      <c r="D75" s="32" t="s">
        <v>75</v>
      </c>
      <c r="E75" s="32"/>
      <c r="F75" s="32"/>
      <c r="G75" s="129"/>
      <c r="H75" s="146"/>
      <c r="I75" s="147"/>
      <c r="J75" s="147"/>
      <c r="K75" s="147"/>
      <c r="L75" s="147"/>
      <c r="M75" s="147"/>
      <c r="N75" s="147"/>
      <c r="O75" s="147"/>
      <c r="P75" s="147"/>
      <c r="Q75" s="147"/>
      <c r="R75" s="147"/>
      <c r="S75" s="257"/>
      <c r="T75" s="229"/>
      <c r="U75" s="147">
        <f t="shared" si="33"/>
        <v>0</v>
      </c>
      <c r="V75" s="147"/>
      <c r="W75" s="148">
        <f>SUM(H75:S75)</f>
        <v>0</v>
      </c>
      <c r="X75" s="48"/>
      <c r="Y75" s="197">
        <v>0</v>
      </c>
      <c r="Z75" s="48"/>
      <c r="AA75" s="178">
        <f>AC75/12*$AI$5</f>
        <v>0</v>
      </c>
      <c r="AB75" s="147"/>
      <c r="AC75" s="147">
        <v>0</v>
      </c>
      <c r="AD75" s="183"/>
      <c r="AE75" s="183">
        <f>AC75-W75</f>
        <v>0</v>
      </c>
    </row>
    <row r="76" spans="1:31" ht="17" thickBot="1" x14ac:dyDescent="0.25">
      <c r="A76" s="32"/>
      <c r="B76" s="32"/>
      <c r="C76" s="32"/>
      <c r="D76" s="32" t="s">
        <v>76</v>
      </c>
      <c r="E76" s="32"/>
      <c r="F76" s="32"/>
      <c r="G76" s="129"/>
      <c r="H76" s="146">
        <v>1753.17</v>
      </c>
      <c r="I76" s="147">
        <v>1753.17</v>
      </c>
      <c r="J76" s="147">
        <v>1753.17</v>
      </c>
      <c r="K76" s="147">
        <v>1753.17</v>
      </c>
      <c r="L76" s="147"/>
      <c r="M76" s="147"/>
      <c r="N76" s="147"/>
      <c r="O76" s="147"/>
      <c r="P76" s="147"/>
      <c r="Q76" s="147"/>
      <c r="R76" s="147"/>
      <c r="S76" s="257"/>
      <c r="T76" s="229">
        <f>AC76/12</f>
        <v>1791.6666666666667</v>
      </c>
      <c r="U76" s="147">
        <f t="shared" si="33"/>
        <v>-5528.9866666666676</v>
      </c>
      <c r="V76" s="147"/>
      <c r="W76" s="148">
        <f>SUM(H76:S76)</f>
        <v>7012.68</v>
      </c>
      <c r="X76" s="48"/>
      <c r="Y76" s="197">
        <f>W76/AC76</f>
        <v>0.32617116279069769</v>
      </c>
      <c r="Z76" s="48"/>
      <c r="AA76" s="178">
        <f>AC76/12*$AI$5</f>
        <v>12541.666666666668</v>
      </c>
      <c r="AB76" s="147"/>
      <c r="AC76" s="147">
        <v>21500</v>
      </c>
      <c r="AD76" s="183"/>
      <c r="AE76" s="183">
        <f>AC76-W76</f>
        <v>14487.32</v>
      </c>
    </row>
    <row r="77" spans="1:31" ht="17" thickBot="1" x14ac:dyDescent="0.25">
      <c r="A77" s="32"/>
      <c r="B77" s="32"/>
      <c r="C77" s="104" t="s">
        <v>77</v>
      </c>
      <c r="D77" s="104"/>
      <c r="E77" s="104"/>
      <c r="F77" s="104"/>
      <c r="G77" s="132"/>
      <c r="H77" s="157">
        <f>SUM(H72:H76)</f>
        <v>18379.839999999997</v>
      </c>
      <c r="I77" s="155">
        <f>SUM(I72:I76)</f>
        <v>18379.839999999997</v>
      </c>
      <c r="J77" s="155">
        <f>SUM(J72:J76)</f>
        <v>18379.839999999997</v>
      </c>
      <c r="K77" s="155">
        <f>SUM(K72:K76)</f>
        <v>18561.409999999996</v>
      </c>
      <c r="L77" s="155">
        <f>SUM(L72:L76)</f>
        <v>16626.669999999998</v>
      </c>
      <c r="M77" s="155">
        <f t="shared" ref="M77:S77" si="35">SUM(M72:M76)</f>
        <v>16626.669999999998</v>
      </c>
      <c r="N77" s="155">
        <f t="shared" si="35"/>
        <v>16626.669999999998</v>
      </c>
      <c r="O77" s="155">
        <f t="shared" si="35"/>
        <v>0</v>
      </c>
      <c r="P77" s="155">
        <f t="shared" si="35"/>
        <v>0</v>
      </c>
      <c r="Q77" s="155">
        <f t="shared" si="35"/>
        <v>0</v>
      </c>
      <c r="R77" s="155">
        <f t="shared" si="35"/>
        <v>0</v>
      </c>
      <c r="S77" s="262">
        <f t="shared" si="35"/>
        <v>0</v>
      </c>
      <c r="T77" s="233">
        <f>AC77/12</f>
        <v>16625</v>
      </c>
      <c r="U77" s="155">
        <f t="shared" si="33"/>
        <v>7205.9399999999732</v>
      </c>
      <c r="V77" s="155"/>
      <c r="W77" s="156">
        <f>SUM(H77:S77)</f>
        <v>123580.93999999999</v>
      </c>
      <c r="X77" s="53"/>
      <c r="Y77" s="199">
        <f>W77/AC77</f>
        <v>0.6194533333333333</v>
      </c>
      <c r="Z77" s="53"/>
      <c r="AA77" s="180">
        <f>SUM(AA74:AA76)</f>
        <v>116375.00000000001</v>
      </c>
      <c r="AB77" s="155">
        <f>SUM(AB74:AB76)</f>
        <v>0</v>
      </c>
      <c r="AC77" s="155">
        <f>SUM(AC74:AC76)</f>
        <v>199500</v>
      </c>
      <c r="AD77" s="187"/>
      <c r="AE77" s="155">
        <f>SUM(AE74:AE76)</f>
        <v>76100.63</v>
      </c>
    </row>
    <row r="78" spans="1:31" ht="16" x14ac:dyDescent="0.2">
      <c r="A78" s="32"/>
      <c r="B78" s="32"/>
      <c r="C78" s="32" t="s">
        <v>78</v>
      </c>
      <c r="D78" s="32"/>
      <c r="E78" s="32"/>
      <c r="F78" s="32"/>
      <c r="G78" s="129"/>
      <c r="H78" s="146"/>
      <c r="I78" s="147"/>
      <c r="J78" s="147"/>
      <c r="K78" s="147"/>
      <c r="L78" s="147"/>
      <c r="M78" s="147"/>
      <c r="N78" s="147"/>
      <c r="O78" s="147"/>
      <c r="P78" s="147"/>
      <c r="Q78" s="147"/>
      <c r="R78" s="147"/>
      <c r="S78" s="257"/>
      <c r="T78" s="229"/>
      <c r="U78" s="147" t="s">
        <v>178</v>
      </c>
      <c r="V78" s="147"/>
      <c r="W78" s="147" t="s">
        <v>178</v>
      </c>
      <c r="X78" s="48"/>
      <c r="Y78" s="197"/>
      <c r="Z78" s="48"/>
      <c r="AA78" s="147"/>
      <c r="AB78" s="147"/>
      <c r="AC78" s="147"/>
      <c r="AD78" s="183"/>
      <c r="AE78" s="183"/>
    </row>
    <row r="79" spans="1:31" ht="16" x14ac:dyDescent="0.2">
      <c r="A79" s="32"/>
      <c r="B79" s="32"/>
      <c r="C79" s="32"/>
      <c r="D79" s="32" t="s">
        <v>79</v>
      </c>
      <c r="E79" s="32"/>
      <c r="F79" s="32"/>
      <c r="G79" s="129"/>
      <c r="H79" s="146"/>
      <c r="I79" s="147"/>
      <c r="J79" s="147"/>
      <c r="K79" s="147">
        <v>206</v>
      </c>
      <c r="L79" s="147">
        <v>439.79</v>
      </c>
      <c r="M79" s="147"/>
      <c r="N79" s="147"/>
      <c r="O79" s="147"/>
      <c r="P79" s="147"/>
      <c r="Q79" s="147"/>
      <c r="R79" s="147"/>
      <c r="S79" s="257"/>
      <c r="T79" s="229">
        <v>0</v>
      </c>
      <c r="U79" s="147">
        <f t="shared" si="33"/>
        <v>645.79</v>
      </c>
      <c r="V79" s="147"/>
      <c r="W79" s="148">
        <f t="shared" ref="W79:W87" si="36">SUM(H79:S79)</f>
        <v>645.79</v>
      </c>
      <c r="X79" s="48"/>
      <c r="Y79" s="197" t="e">
        <f t="shared" ref="Y79:Y87" si="37">W79/AC79</f>
        <v>#DIV/0!</v>
      </c>
      <c r="Z79" s="48"/>
      <c r="AA79" s="178">
        <f>AC79/12*$AI$5</f>
        <v>0</v>
      </c>
      <c r="AB79" s="147"/>
      <c r="AC79" s="147">
        <v>0</v>
      </c>
      <c r="AD79" s="183"/>
      <c r="AE79" s="183">
        <f t="shared" ref="AE79:AE143" si="38">AC79-W79</f>
        <v>-645.79</v>
      </c>
    </row>
    <row r="80" spans="1:31" ht="16" x14ac:dyDescent="0.2">
      <c r="A80" s="32"/>
      <c r="B80" s="32"/>
      <c r="C80" s="32"/>
      <c r="D80" s="32" t="s">
        <v>80</v>
      </c>
      <c r="E80" s="32"/>
      <c r="F80" s="32"/>
      <c r="G80" s="129"/>
      <c r="H80" s="146"/>
      <c r="I80" s="147"/>
      <c r="J80" s="147"/>
      <c r="K80" s="147"/>
      <c r="L80" s="147"/>
      <c r="M80" s="147">
        <v>36000</v>
      </c>
      <c r="N80" s="147"/>
      <c r="O80" s="147"/>
      <c r="P80" s="147"/>
      <c r="Q80" s="147"/>
      <c r="R80" s="147"/>
      <c r="S80" s="257"/>
      <c r="T80" s="229">
        <f>AC80/12</f>
        <v>6666.666666666667</v>
      </c>
      <c r="U80" s="147">
        <f t="shared" si="33"/>
        <v>-10666.666666666672</v>
      </c>
      <c r="V80" s="147"/>
      <c r="W80" s="148">
        <f t="shared" si="36"/>
        <v>36000</v>
      </c>
      <c r="X80" s="48"/>
      <c r="Y80" s="197">
        <f t="shared" si="37"/>
        <v>0.45</v>
      </c>
      <c r="Z80" s="48"/>
      <c r="AA80" s="178">
        <f t="shared" ref="AA80:AA85" si="39">AC80/12*$AI$5</f>
        <v>46666.666666666672</v>
      </c>
      <c r="AB80" s="147"/>
      <c r="AC80" s="147">
        <v>80000</v>
      </c>
      <c r="AD80" s="183"/>
      <c r="AE80" s="183">
        <f t="shared" si="38"/>
        <v>44000</v>
      </c>
    </row>
    <row r="81" spans="1:31" ht="16" x14ac:dyDescent="0.2">
      <c r="A81" s="32"/>
      <c r="B81" s="32"/>
      <c r="C81" s="32"/>
      <c r="D81" s="32" t="s">
        <v>196</v>
      </c>
      <c r="E81" s="32"/>
      <c r="F81" s="32"/>
      <c r="G81" s="129"/>
      <c r="H81" s="146"/>
      <c r="I81" s="147"/>
      <c r="J81" s="147"/>
      <c r="K81" s="147"/>
      <c r="L81" s="147"/>
      <c r="M81" s="147"/>
      <c r="N81" s="147"/>
      <c r="O81" s="147"/>
      <c r="P81" s="147"/>
      <c r="Q81" s="147"/>
      <c r="R81" s="147"/>
      <c r="S81" s="257"/>
      <c r="T81" s="229"/>
      <c r="U81" s="147">
        <f>W81-AA81</f>
        <v>0</v>
      </c>
      <c r="V81" s="147"/>
      <c r="W81" s="148">
        <f t="shared" si="36"/>
        <v>0</v>
      </c>
      <c r="X81" s="48"/>
      <c r="Y81" s="197" t="e">
        <f t="shared" si="37"/>
        <v>#DIV/0!</v>
      </c>
      <c r="Z81" s="48"/>
      <c r="AA81" s="178">
        <f t="shared" si="39"/>
        <v>0</v>
      </c>
      <c r="AB81" s="147"/>
      <c r="AC81" s="147"/>
      <c r="AD81" s="183"/>
      <c r="AE81" s="183">
        <f>AC81-W81</f>
        <v>0</v>
      </c>
    </row>
    <row r="82" spans="1:31" ht="16" x14ac:dyDescent="0.2">
      <c r="A82" s="32"/>
      <c r="B82" s="32"/>
      <c r="C82" s="32"/>
      <c r="D82" s="32" t="s">
        <v>81</v>
      </c>
      <c r="E82" s="32"/>
      <c r="F82" s="32"/>
      <c r="G82" s="129"/>
      <c r="H82" s="146"/>
      <c r="I82" s="147"/>
      <c r="J82" s="147"/>
      <c r="K82" s="147"/>
      <c r="L82" s="147"/>
      <c r="M82" s="147"/>
      <c r="N82" s="147"/>
      <c r="O82" s="147"/>
      <c r="P82" s="147"/>
      <c r="Q82" s="147"/>
      <c r="R82" s="147"/>
      <c r="S82" s="257"/>
      <c r="T82" s="229">
        <f>AC82/12</f>
        <v>62.5</v>
      </c>
      <c r="U82" s="147">
        <f t="shared" si="33"/>
        <v>-437.5</v>
      </c>
      <c r="V82" s="147"/>
      <c r="W82" s="148">
        <f t="shared" si="36"/>
        <v>0</v>
      </c>
      <c r="X82" s="48"/>
      <c r="Y82" s="197">
        <f t="shared" si="37"/>
        <v>0</v>
      </c>
      <c r="Z82" s="48"/>
      <c r="AA82" s="178">
        <f t="shared" si="39"/>
        <v>437.5</v>
      </c>
      <c r="AB82" s="147"/>
      <c r="AC82" s="147">
        <v>750</v>
      </c>
      <c r="AD82" s="183"/>
      <c r="AE82" s="183">
        <f t="shared" si="38"/>
        <v>750</v>
      </c>
    </row>
    <row r="83" spans="1:31" ht="16" x14ac:dyDescent="0.2">
      <c r="A83" s="32"/>
      <c r="B83" s="32"/>
      <c r="C83" s="32"/>
      <c r="D83" s="32" t="s">
        <v>82</v>
      </c>
      <c r="E83" s="32"/>
      <c r="F83" s="32"/>
      <c r="G83" s="129"/>
      <c r="H83" s="146"/>
      <c r="I83" s="147"/>
      <c r="J83" s="147"/>
      <c r="K83" s="147"/>
      <c r="L83" s="147"/>
      <c r="M83" s="147"/>
      <c r="N83" s="147"/>
      <c r="O83" s="147"/>
      <c r="P83" s="147"/>
      <c r="Q83" s="147"/>
      <c r="R83" s="147"/>
      <c r="S83" s="257"/>
      <c r="T83" s="229">
        <f>AC83/12</f>
        <v>0</v>
      </c>
      <c r="U83" s="147">
        <f t="shared" si="33"/>
        <v>0</v>
      </c>
      <c r="V83" s="147"/>
      <c r="W83" s="148">
        <f t="shared" si="36"/>
        <v>0</v>
      </c>
      <c r="X83" s="48"/>
      <c r="Y83" s="197" t="e">
        <f t="shared" si="37"/>
        <v>#DIV/0!</v>
      </c>
      <c r="Z83" s="48"/>
      <c r="AA83" s="178">
        <f t="shared" si="39"/>
        <v>0</v>
      </c>
      <c r="AB83" s="147"/>
      <c r="AC83" s="147">
        <v>0</v>
      </c>
      <c r="AD83" s="183"/>
      <c r="AE83" s="183">
        <f t="shared" si="38"/>
        <v>0</v>
      </c>
    </row>
    <row r="84" spans="1:31" ht="16" x14ac:dyDescent="0.2">
      <c r="A84" s="32"/>
      <c r="B84" s="32"/>
      <c r="C84" s="32"/>
      <c r="D84" s="32" t="s">
        <v>83</v>
      </c>
      <c r="E84" s="32"/>
      <c r="F84" s="32"/>
      <c r="G84" s="129"/>
      <c r="H84" s="146"/>
      <c r="I84" s="147"/>
      <c r="J84" s="147"/>
      <c r="K84" s="147"/>
      <c r="L84" s="147"/>
      <c r="M84" s="147"/>
      <c r="N84" s="147"/>
      <c r="O84" s="147"/>
      <c r="P84" s="147"/>
      <c r="Q84" s="147"/>
      <c r="R84" s="147"/>
      <c r="S84" s="257"/>
      <c r="T84" s="229">
        <f>AC84/12</f>
        <v>83.333333333333329</v>
      </c>
      <c r="U84" s="147">
        <f t="shared" si="33"/>
        <v>-583.33333333333326</v>
      </c>
      <c r="V84" s="147"/>
      <c r="W84" s="148">
        <f t="shared" si="36"/>
        <v>0</v>
      </c>
      <c r="X84" s="48"/>
      <c r="Y84" s="197">
        <f t="shared" si="37"/>
        <v>0</v>
      </c>
      <c r="Z84" s="48"/>
      <c r="AA84" s="178">
        <f t="shared" si="39"/>
        <v>583.33333333333326</v>
      </c>
      <c r="AB84" s="147"/>
      <c r="AC84" s="147">
        <v>1000</v>
      </c>
      <c r="AD84" s="183"/>
      <c r="AE84" s="183">
        <f t="shared" si="38"/>
        <v>1000</v>
      </c>
    </row>
    <row r="85" spans="1:31" ht="16" x14ac:dyDescent="0.2">
      <c r="A85" s="32"/>
      <c r="B85" s="32"/>
      <c r="C85" s="32"/>
      <c r="D85" s="32" t="s">
        <v>84</v>
      </c>
      <c r="E85" s="32"/>
      <c r="F85" s="32"/>
      <c r="G85" s="129"/>
      <c r="H85" s="146">
        <v>161.24</v>
      </c>
      <c r="I85" s="147">
        <v>545.5</v>
      </c>
      <c r="J85" s="147">
        <v>125.28</v>
      </c>
      <c r="K85" s="147">
        <v>177.97</v>
      </c>
      <c r="L85" s="147">
        <v>731.45</v>
      </c>
      <c r="M85" s="147">
        <v>106.33</v>
      </c>
      <c r="N85" s="147">
        <v>128.76</v>
      </c>
      <c r="O85" s="147"/>
      <c r="P85" s="147"/>
      <c r="Q85" s="147"/>
      <c r="R85" s="147"/>
      <c r="S85" s="257"/>
      <c r="T85" s="229">
        <f>AC85/12</f>
        <v>750</v>
      </c>
      <c r="U85" s="147">
        <f t="shared" si="33"/>
        <v>-3273.4700000000003</v>
      </c>
      <c r="V85" s="147"/>
      <c r="W85" s="148">
        <f t="shared" si="36"/>
        <v>1976.53</v>
      </c>
      <c r="X85" s="48"/>
      <c r="Y85" s="197">
        <f t="shared" si="37"/>
        <v>0.21961444444444445</v>
      </c>
      <c r="Z85" s="48"/>
      <c r="AA85" s="178">
        <f t="shared" si="39"/>
        <v>5250</v>
      </c>
      <c r="AB85" s="147"/>
      <c r="AC85" s="147">
        <v>9000</v>
      </c>
      <c r="AD85" s="183"/>
      <c r="AE85" s="183">
        <f t="shared" si="38"/>
        <v>7023.47</v>
      </c>
    </row>
    <row r="86" spans="1:31" ht="17" thickBot="1" x14ac:dyDescent="0.25">
      <c r="A86" s="32"/>
      <c r="B86" s="32"/>
      <c r="C86" s="32"/>
      <c r="D86" s="32" t="s">
        <v>176</v>
      </c>
      <c r="E86" s="32"/>
      <c r="F86" s="32"/>
      <c r="G86" s="129"/>
      <c r="H86" s="146">
        <v>0</v>
      </c>
      <c r="I86" s="147"/>
      <c r="J86" s="147"/>
      <c r="K86" s="147"/>
      <c r="L86" s="147"/>
      <c r="M86" s="147"/>
      <c r="N86" s="147"/>
      <c r="O86" s="147"/>
      <c r="P86" s="147"/>
      <c r="Q86" s="147"/>
      <c r="R86" s="147"/>
      <c r="S86" s="257"/>
      <c r="T86" s="229">
        <f t="shared" si="29"/>
        <v>0</v>
      </c>
      <c r="U86" s="147">
        <f t="shared" si="33"/>
        <v>0</v>
      </c>
      <c r="V86" s="147"/>
      <c r="W86" s="148">
        <f t="shared" si="36"/>
        <v>0</v>
      </c>
      <c r="X86" s="48"/>
      <c r="Y86" s="197" t="e">
        <f t="shared" si="37"/>
        <v>#DIV/0!</v>
      </c>
      <c r="Z86" s="48"/>
      <c r="AA86" s="178">
        <f>AC86/12*1</f>
        <v>0</v>
      </c>
      <c r="AB86" s="147"/>
      <c r="AC86" s="147">
        <v>0</v>
      </c>
      <c r="AD86" s="183"/>
      <c r="AE86" s="183">
        <f t="shared" si="38"/>
        <v>0</v>
      </c>
    </row>
    <row r="87" spans="1:31" ht="17" thickBot="1" x14ac:dyDescent="0.25">
      <c r="A87" s="32"/>
      <c r="B87" s="32"/>
      <c r="C87" s="104" t="s">
        <v>85</v>
      </c>
      <c r="D87" s="104"/>
      <c r="E87" s="104"/>
      <c r="F87" s="104"/>
      <c r="G87" s="132"/>
      <c r="H87" s="157">
        <f t="shared" ref="H87:S87" si="40">SUM(H79:H86)</f>
        <v>161.24</v>
      </c>
      <c r="I87" s="155">
        <f>SUM(I79:I86)</f>
        <v>545.5</v>
      </c>
      <c r="J87" s="155">
        <f t="shared" si="40"/>
        <v>125.28</v>
      </c>
      <c r="K87" s="155">
        <f>SUM(K79:K86)</f>
        <v>383.97</v>
      </c>
      <c r="L87" s="155">
        <f>SUM(L79:L86)</f>
        <v>1171.24</v>
      </c>
      <c r="M87" s="155">
        <f t="shared" ref="M87" si="41">SUM(M79:M86)</f>
        <v>36106.33</v>
      </c>
      <c r="N87" s="155">
        <f t="shared" si="40"/>
        <v>128.76</v>
      </c>
      <c r="O87" s="155">
        <f t="shared" si="40"/>
        <v>0</v>
      </c>
      <c r="P87" s="155">
        <f t="shared" si="40"/>
        <v>0</v>
      </c>
      <c r="Q87" s="155">
        <f t="shared" si="40"/>
        <v>0</v>
      </c>
      <c r="R87" s="155">
        <f t="shared" si="40"/>
        <v>0</v>
      </c>
      <c r="S87" s="262">
        <f t="shared" si="40"/>
        <v>0</v>
      </c>
      <c r="T87" s="233">
        <f t="shared" si="29"/>
        <v>7562.5</v>
      </c>
      <c r="U87" s="155">
        <f t="shared" si="33"/>
        <v>-14315.18</v>
      </c>
      <c r="V87" s="155"/>
      <c r="W87" s="156">
        <f t="shared" si="36"/>
        <v>38622.320000000007</v>
      </c>
      <c r="X87" s="53"/>
      <c r="Y87" s="197">
        <f t="shared" si="37"/>
        <v>0.4255903030303031</v>
      </c>
      <c r="Z87" s="53"/>
      <c r="AA87" s="180">
        <f>SUM(AA79:AA86)</f>
        <v>52937.500000000007</v>
      </c>
      <c r="AB87" s="155">
        <f>SUM(AB79:AB86)</f>
        <v>0</v>
      </c>
      <c r="AC87" s="155">
        <f>SUM(AC79:AC85)</f>
        <v>90750</v>
      </c>
      <c r="AD87" s="187"/>
      <c r="AE87" s="155">
        <f>SUM(AE79:AE86)</f>
        <v>52127.68</v>
      </c>
    </row>
    <row r="88" spans="1:31" ht="16" x14ac:dyDescent="0.2">
      <c r="A88" s="32"/>
      <c r="B88" s="32"/>
      <c r="C88" s="32"/>
      <c r="D88" s="32"/>
      <c r="E88" s="32"/>
      <c r="F88" s="32"/>
      <c r="G88" s="129"/>
      <c r="H88" s="143"/>
      <c r="I88" s="48"/>
      <c r="J88" s="48"/>
      <c r="K88" s="48"/>
      <c r="L88" s="48"/>
      <c r="M88" s="48"/>
      <c r="N88" s="48"/>
      <c r="O88" s="48"/>
      <c r="P88" s="48"/>
      <c r="Q88" s="48"/>
      <c r="R88" s="48"/>
      <c r="S88" s="261"/>
      <c r="T88" s="234" t="s">
        <v>178</v>
      </c>
      <c r="U88" s="48" t="s">
        <v>178</v>
      </c>
      <c r="V88" s="48"/>
      <c r="W88" s="48" t="s">
        <v>178</v>
      </c>
      <c r="X88" s="48"/>
      <c r="Y88" s="48"/>
      <c r="Z88" s="48"/>
      <c r="AA88" s="48"/>
      <c r="AB88" s="48"/>
      <c r="AC88" s="48"/>
      <c r="AD88" s="72"/>
      <c r="AE88" s="72"/>
    </row>
    <row r="89" spans="1:31" ht="16" x14ac:dyDescent="0.2">
      <c r="A89" s="32"/>
      <c r="B89" s="32"/>
      <c r="C89" s="32" t="s">
        <v>86</v>
      </c>
      <c r="D89" s="32"/>
      <c r="E89" s="32"/>
      <c r="F89" s="32"/>
      <c r="G89" s="129"/>
      <c r="H89" s="143"/>
      <c r="I89" s="48"/>
      <c r="J89" s="48"/>
      <c r="K89" s="48"/>
      <c r="L89" s="48"/>
      <c r="M89" s="48"/>
      <c r="N89" s="48"/>
      <c r="O89" s="48"/>
      <c r="P89" s="48"/>
      <c r="Q89" s="48"/>
      <c r="R89" s="48"/>
      <c r="S89" s="261"/>
      <c r="T89" s="234" t="s">
        <v>178</v>
      </c>
      <c r="U89" s="48" t="s">
        <v>178</v>
      </c>
      <c r="V89" s="48"/>
      <c r="W89" s="48" t="s">
        <v>178</v>
      </c>
      <c r="X89" s="48"/>
      <c r="Y89" s="48"/>
      <c r="Z89" s="48"/>
      <c r="AA89" s="48"/>
      <c r="AB89" s="48"/>
      <c r="AC89" s="48"/>
      <c r="AD89" s="72"/>
      <c r="AE89" s="72"/>
    </row>
    <row r="90" spans="1:31" ht="16" x14ac:dyDescent="0.2">
      <c r="A90" s="32"/>
      <c r="B90" s="32"/>
      <c r="C90" s="32"/>
      <c r="D90" s="32"/>
      <c r="E90" s="32"/>
      <c r="F90" s="32" t="s">
        <v>87</v>
      </c>
      <c r="G90" s="129"/>
      <c r="H90" s="143"/>
      <c r="I90" s="48"/>
      <c r="J90" s="48"/>
      <c r="K90" s="48"/>
      <c r="L90" s="48"/>
      <c r="M90" s="48"/>
      <c r="N90" s="48"/>
      <c r="O90" s="48"/>
      <c r="P90" s="48"/>
      <c r="Q90" s="48"/>
      <c r="R90" s="48"/>
      <c r="S90" s="261"/>
      <c r="T90" s="234">
        <f t="shared" si="29"/>
        <v>0</v>
      </c>
      <c r="U90" s="48">
        <f t="shared" si="33"/>
        <v>0</v>
      </c>
      <c r="V90" s="48"/>
      <c r="W90" s="82">
        <f>SUM(H90:H90)</f>
        <v>0</v>
      </c>
      <c r="X90" s="48"/>
      <c r="Y90" s="48"/>
      <c r="Z90" s="48"/>
      <c r="AA90" s="85">
        <f>+$AI$6*AG90</f>
        <v>0</v>
      </c>
      <c r="AB90" s="48"/>
      <c r="AC90" s="48"/>
      <c r="AD90" s="72"/>
      <c r="AE90" s="72">
        <f t="shared" si="38"/>
        <v>0</v>
      </c>
    </row>
    <row r="91" spans="1:31" ht="16" x14ac:dyDescent="0.2">
      <c r="A91" s="32"/>
      <c r="B91" s="32"/>
      <c r="C91" s="32"/>
      <c r="D91" s="32"/>
      <c r="E91" s="32"/>
      <c r="F91" s="32" t="s">
        <v>88</v>
      </c>
      <c r="G91" s="129"/>
      <c r="H91" s="143"/>
      <c r="I91" s="48"/>
      <c r="J91" s="48"/>
      <c r="K91" s="48"/>
      <c r="L91" s="48"/>
      <c r="M91" s="48"/>
      <c r="N91" s="48"/>
      <c r="O91" s="48"/>
      <c r="P91" s="48"/>
      <c r="Q91" s="48"/>
      <c r="R91" s="48"/>
      <c r="S91" s="261"/>
      <c r="T91" s="234">
        <f t="shared" si="29"/>
        <v>0</v>
      </c>
      <c r="U91" s="48">
        <f t="shared" si="33"/>
        <v>0</v>
      </c>
      <c r="V91" s="48"/>
      <c r="W91" s="82">
        <f>SUM(H91:H91)</f>
        <v>0</v>
      </c>
      <c r="X91" s="48"/>
      <c r="Y91" s="48"/>
      <c r="Z91" s="48"/>
      <c r="AA91" s="85">
        <f>+$AI$6*AG91</f>
        <v>0</v>
      </c>
      <c r="AB91" s="48"/>
      <c r="AC91" s="48"/>
      <c r="AD91" s="72"/>
      <c r="AE91" s="72">
        <f t="shared" si="38"/>
        <v>0</v>
      </c>
    </row>
    <row r="92" spans="1:31" ht="16" x14ac:dyDescent="0.2">
      <c r="A92" s="32"/>
      <c r="B92" s="32"/>
      <c r="C92" s="32"/>
      <c r="D92" s="32" t="s">
        <v>191</v>
      </c>
      <c r="E92" s="32"/>
      <c r="F92" s="32"/>
      <c r="G92" s="129"/>
      <c r="H92" s="146"/>
      <c r="I92" s="147"/>
      <c r="J92" s="147"/>
      <c r="K92" s="147"/>
      <c r="L92" s="147"/>
      <c r="M92" s="147"/>
      <c r="N92" s="147">
        <v>0</v>
      </c>
      <c r="O92" s="147">
        <v>0</v>
      </c>
      <c r="P92" s="147"/>
      <c r="Q92" s="147">
        <v>0</v>
      </c>
      <c r="R92" s="147"/>
      <c r="S92" s="257"/>
      <c r="T92" s="229"/>
      <c r="U92" s="147">
        <f t="shared" si="33"/>
        <v>0</v>
      </c>
      <c r="V92" s="147"/>
      <c r="W92" s="148">
        <f t="shared" ref="W92:W101" si="42">SUM(H92:S92)</f>
        <v>0</v>
      </c>
      <c r="X92" s="48"/>
      <c r="Y92" s="197"/>
      <c r="Z92" s="48"/>
      <c r="AA92" s="85"/>
      <c r="AB92" s="48"/>
      <c r="AC92" s="88" t="s">
        <v>192</v>
      </c>
      <c r="AD92" s="72"/>
      <c r="AE92" s="72" t="s">
        <v>178</v>
      </c>
    </row>
    <row r="93" spans="1:31" ht="16" x14ac:dyDescent="0.2">
      <c r="A93" s="32"/>
      <c r="B93" s="32"/>
      <c r="C93" s="32"/>
      <c r="D93" s="32" t="s">
        <v>89</v>
      </c>
      <c r="E93" s="32"/>
      <c r="F93" s="32"/>
      <c r="G93" s="129"/>
      <c r="H93" s="146">
        <v>1073.73</v>
      </c>
      <c r="I93" s="147">
        <v>1176</v>
      </c>
      <c r="J93" s="147">
        <v>4779.26</v>
      </c>
      <c r="K93" s="147">
        <v>13759.8</v>
      </c>
      <c r="L93" s="147">
        <v>3184.25</v>
      </c>
      <c r="M93" s="147">
        <v>2216.8200000000002</v>
      </c>
      <c r="N93" s="147">
        <v>2365.79</v>
      </c>
      <c r="O93" s="147"/>
      <c r="P93" s="147"/>
      <c r="Q93" s="147"/>
      <c r="R93" s="147"/>
      <c r="S93" s="257"/>
      <c r="T93" s="229">
        <f t="shared" ref="T93:T102" si="43">AC93/12</f>
        <v>4333.333333333333</v>
      </c>
      <c r="U93" s="147">
        <f t="shared" si="33"/>
        <v>-1777.6833333333307</v>
      </c>
      <c r="V93" s="147"/>
      <c r="W93" s="148">
        <f>SUM(H93:S93)</f>
        <v>28555.65</v>
      </c>
      <c r="X93" s="48"/>
      <c r="Y93" s="197">
        <f t="shared" ref="Y93:Y102" si="44">W93/AC93</f>
        <v>0.54914711538461536</v>
      </c>
      <c r="Z93" s="48"/>
      <c r="AA93" s="178">
        <f>AC93/12*$AI$5</f>
        <v>30333.333333333332</v>
      </c>
      <c r="AB93" s="147"/>
      <c r="AC93" s="147">
        <v>52000</v>
      </c>
      <c r="AD93" s="183"/>
      <c r="AE93" s="183">
        <f t="shared" si="38"/>
        <v>23444.35</v>
      </c>
    </row>
    <row r="94" spans="1:31" ht="16" x14ac:dyDescent="0.2">
      <c r="A94" s="32"/>
      <c r="B94" s="18"/>
      <c r="C94" s="32"/>
      <c r="D94" s="32" t="s">
        <v>90</v>
      </c>
      <c r="E94" s="32"/>
      <c r="F94" s="32"/>
      <c r="G94" s="129"/>
      <c r="H94" s="146">
        <v>4502.62</v>
      </c>
      <c r="I94" s="147">
        <v>4502.62</v>
      </c>
      <c r="J94" s="147">
        <v>0</v>
      </c>
      <c r="K94" s="147"/>
      <c r="L94" s="147"/>
      <c r="M94" s="147">
        <v>3993.72</v>
      </c>
      <c r="N94" s="147"/>
      <c r="O94" s="147"/>
      <c r="P94" s="147"/>
      <c r="Q94" s="147"/>
      <c r="R94" s="147"/>
      <c r="S94" s="257"/>
      <c r="T94" s="229">
        <f t="shared" si="43"/>
        <v>333.33333333333331</v>
      </c>
      <c r="U94" s="147">
        <f t="shared" si="33"/>
        <v>10665.626666666667</v>
      </c>
      <c r="V94" s="147"/>
      <c r="W94" s="148">
        <f t="shared" si="42"/>
        <v>12998.96</v>
      </c>
      <c r="X94" s="48"/>
      <c r="Y94" s="197">
        <f t="shared" si="44"/>
        <v>3.2497399999999996</v>
      </c>
      <c r="Z94" s="48"/>
      <c r="AA94" s="178">
        <f t="shared" ref="AA94:AA101" si="45">AC94/12*$AI$5</f>
        <v>2333.333333333333</v>
      </c>
      <c r="AB94" s="147"/>
      <c r="AC94" s="147">
        <v>4000</v>
      </c>
      <c r="AD94" s="183"/>
      <c r="AE94" s="183">
        <f t="shared" si="38"/>
        <v>-8998.9599999999991</v>
      </c>
    </row>
    <row r="95" spans="1:31" ht="16" x14ac:dyDescent="0.2">
      <c r="A95" s="32"/>
      <c r="B95" s="32"/>
      <c r="C95" s="32"/>
      <c r="D95" s="32" t="s">
        <v>199</v>
      </c>
      <c r="E95" s="32"/>
      <c r="F95" s="32"/>
      <c r="G95" s="129"/>
      <c r="H95" s="146"/>
      <c r="I95" s="147"/>
      <c r="J95" s="147">
        <v>141.36000000000001</v>
      </c>
      <c r="K95" s="147"/>
      <c r="L95" s="147"/>
      <c r="M95" s="147"/>
      <c r="N95" s="147"/>
      <c r="O95" s="147"/>
      <c r="P95" s="147"/>
      <c r="Q95" s="147"/>
      <c r="R95" s="147"/>
      <c r="S95" s="257"/>
      <c r="T95" s="229">
        <f t="shared" si="43"/>
        <v>83.333333333333329</v>
      </c>
      <c r="U95" s="147">
        <f t="shared" si="33"/>
        <v>-441.97333333333324</v>
      </c>
      <c r="V95" s="147"/>
      <c r="W95" s="148">
        <f t="shared" si="42"/>
        <v>141.36000000000001</v>
      </c>
      <c r="X95" s="48"/>
      <c r="Y95" s="197">
        <f t="shared" si="44"/>
        <v>0.14136000000000001</v>
      </c>
      <c r="Z95" s="48"/>
      <c r="AA95" s="178">
        <f t="shared" si="45"/>
        <v>583.33333333333326</v>
      </c>
      <c r="AB95" s="147"/>
      <c r="AC95" s="147">
        <v>1000</v>
      </c>
      <c r="AD95" s="183"/>
      <c r="AE95" s="183">
        <f t="shared" si="38"/>
        <v>858.64</v>
      </c>
    </row>
    <row r="96" spans="1:31" ht="16" x14ac:dyDescent="0.2">
      <c r="A96" s="32"/>
      <c r="B96" s="32"/>
      <c r="C96" s="32"/>
      <c r="D96" s="32" t="s">
        <v>219</v>
      </c>
      <c r="E96" s="32"/>
      <c r="F96" s="32"/>
      <c r="G96" s="129"/>
      <c r="H96" s="146"/>
      <c r="I96" s="147"/>
      <c r="J96" s="147"/>
      <c r="K96" s="147"/>
      <c r="L96" s="147"/>
      <c r="M96" s="147"/>
      <c r="N96" s="147"/>
      <c r="O96" s="147"/>
      <c r="P96" s="147"/>
      <c r="Q96" s="147"/>
      <c r="R96" s="147"/>
      <c r="S96" s="257"/>
      <c r="T96" s="229">
        <f t="shared" si="43"/>
        <v>0</v>
      </c>
      <c r="U96" s="147">
        <f>W96-AA96</f>
        <v>0</v>
      </c>
      <c r="V96" s="147"/>
      <c r="W96" s="148">
        <f>SUM(H96:S96)</f>
        <v>0</v>
      </c>
      <c r="X96" s="48"/>
      <c r="Y96" s="197" t="e">
        <f t="shared" si="44"/>
        <v>#DIV/0!</v>
      </c>
      <c r="Z96" s="48"/>
      <c r="AA96" s="178">
        <f t="shared" si="45"/>
        <v>0</v>
      </c>
      <c r="AB96" s="147"/>
      <c r="AC96" s="147">
        <v>0</v>
      </c>
      <c r="AD96" s="183"/>
      <c r="AE96" s="183">
        <f t="shared" si="38"/>
        <v>0</v>
      </c>
    </row>
    <row r="97" spans="1:31" ht="16" x14ac:dyDescent="0.2">
      <c r="A97" s="32"/>
      <c r="B97" s="32"/>
      <c r="C97" s="32"/>
      <c r="D97" s="32" t="s">
        <v>91</v>
      </c>
      <c r="E97" s="32"/>
      <c r="F97" s="32"/>
      <c r="G97" s="129"/>
      <c r="H97" s="146">
        <v>2929.35</v>
      </c>
      <c r="I97" s="147">
        <v>4230.2700000000004</v>
      </c>
      <c r="J97" s="147">
        <v>2859.36</v>
      </c>
      <c r="K97" s="147">
        <v>3196.9</v>
      </c>
      <c r="L97" s="147">
        <v>2127.9</v>
      </c>
      <c r="M97" s="147">
        <v>2833.97</v>
      </c>
      <c r="N97" s="147">
        <v>580.01</v>
      </c>
      <c r="O97" s="147"/>
      <c r="P97" s="147"/>
      <c r="Q97" s="147"/>
      <c r="R97" s="147"/>
      <c r="S97" s="257"/>
      <c r="T97" s="229">
        <f t="shared" si="43"/>
        <v>3000</v>
      </c>
      <c r="U97" s="147">
        <f t="shared" si="33"/>
        <v>-2242.2400000000016</v>
      </c>
      <c r="V97" s="147"/>
      <c r="W97" s="148">
        <f t="shared" si="42"/>
        <v>18757.759999999998</v>
      </c>
      <c r="X97" s="48"/>
      <c r="Y97" s="197">
        <f t="shared" si="44"/>
        <v>0.52104888888888889</v>
      </c>
      <c r="Z97" s="48"/>
      <c r="AA97" s="178">
        <f t="shared" si="45"/>
        <v>21000</v>
      </c>
      <c r="AB97" s="147"/>
      <c r="AC97" s="147">
        <v>36000</v>
      </c>
      <c r="AD97" s="183"/>
      <c r="AE97" s="183">
        <f t="shared" si="38"/>
        <v>17242.240000000002</v>
      </c>
    </row>
    <row r="98" spans="1:31" ht="16" x14ac:dyDescent="0.2">
      <c r="A98" s="32"/>
      <c r="B98" s="32"/>
      <c r="C98" s="32"/>
      <c r="D98" s="32" t="s">
        <v>180</v>
      </c>
      <c r="E98" s="32"/>
      <c r="F98" s="32"/>
      <c r="G98" s="129"/>
      <c r="H98" s="146">
        <v>302.10000000000002</v>
      </c>
      <c r="I98" s="147">
        <v>608.51</v>
      </c>
      <c r="J98" s="147">
        <v>12.23</v>
      </c>
      <c r="K98" s="147">
        <v>258.79000000000002</v>
      </c>
      <c r="L98" s="147"/>
      <c r="M98" s="147"/>
      <c r="N98" s="147"/>
      <c r="O98" s="147"/>
      <c r="P98" s="147"/>
      <c r="Q98" s="147"/>
      <c r="R98" s="147"/>
      <c r="S98" s="257"/>
      <c r="T98" s="229">
        <f t="shared" si="43"/>
        <v>250</v>
      </c>
      <c r="U98" s="147">
        <f>W98-AA98</f>
        <v>-568.36999999999989</v>
      </c>
      <c r="V98" s="147"/>
      <c r="W98" s="148">
        <f t="shared" si="42"/>
        <v>1181.6300000000001</v>
      </c>
      <c r="X98" s="48"/>
      <c r="Y98" s="197">
        <f t="shared" si="44"/>
        <v>0.39387666666666671</v>
      </c>
      <c r="Z98" s="48"/>
      <c r="AA98" s="178">
        <f t="shared" si="45"/>
        <v>1750</v>
      </c>
      <c r="AB98" s="147"/>
      <c r="AC98" s="147">
        <v>3000</v>
      </c>
      <c r="AD98" s="183"/>
      <c r="AE98" s="183">
        <f t="shared" si="38"/>
        <v>1818.37</v>
      </c>
    </row>
    <row r="99" spans="1:31" ht="16" x14ac:dyDescent="0.2">
      <c r="A99" s="32"/>
      <c r="B99" s="32"/>
      <c r="C99" s="32"/>
      <c r="D99" s="32" t="s">
        <v>92</v>
      </c>
      <c r="E99" s="32"/>
      <c r="F99" s="32"/>
      <c r="G99" s="129"/>
      <c r="H99" s="147"/>
      <c r="I99" s="147"/>
      <c r="J99" s="147"/>
      <c r="K99" s="147"/>
      <c r="L99" s="147"/>
      <c r="M99" s="147"/>
      <c r="N99" s="147"/>
      <c r="O99" s="147"/>
      <c r="P99" s="147"/>
      <c r="Q99" s="147"/>
      <c r="R99" s="147"/>
      <c r="S99" s="257"/>
      <c r="T99" s="229">
        <f t="shared" si="43"/>
        <v>0</v>
      </c>
      <c r="U99" s="147">
        <f t="shared" si="33"/>
        <v>0</v>
      </c>
      <c r="V99" s="147"/>
      <c r="W99" s="148">
        <f>SUM(H99:S99)</f>
        <v>0</v>
      </c>
      <c r="X99" s="48"/>
      <c r="Y99" s="197" t="e">
        <f t="shared" si="44"/>
        <v>#DIV/0!</v>
      </c>
      <c r="Z99" s="48"/>
      <c r="AA99" s="178">
        <f t="shared" si="45"/>
        <v>0</v>
      </c>
      <c r="AB99" s="147"/>
      <c r="AC99" s="147">
        <v>0</v>
      </c>
      <c r="AD99" s="183"/>
      <c r="AE99" s="183">
        <f t="shared" si="38"/>
        <v>0</v>
      </c>
    </row>
    <row r="100" spans="1:31" ht="16" x14ac:dyDescent="0.2">
      <c r="A100" s="32"/>
      <c r="B100" s="32"/>
      <c r="C100" s="32"/>
      <c r="D100" s="32" t="s">
        <v>93</v>
      </c>
      <c r="E100" s="32"/>
      <c r="F100" s="32"/>
      <c r="G100" s="129"/>
      <c r="H100" s="146">
        <v>817.8</v>
      </c>
      <c r="I100" s="147">
        <v>356.42</v>
      </c>
      <c r="J100" s="147">
        <v>356.4</v>
      </c>
      <c r="K100" s="147">
        <v>356.4</v>
      </c>
      <c r="L100" s="147">
        <v>356.4</v>
      </c>
      <c r="M100" s="147">
        <v>356.4</v>
      </c>
      <c r="N100" s="147">
        <v>2133.56</v>
      </c>
      <c r="O100" s="147"/>
      <c r="P100" s="147"/>
      <c r="Q100" s="147"/>
      <c r="R100" s="147"/>
      <c r="S100" s="257"/>
      <c r="T100" s="229">
        <f t="shared" si="43"/>
        <v>666.66666666666663</v>
      </c>
      <c r="U100" s="147">
        <f t="shared" si="33"/>
        <v>66.713333333334049</v>
      </c>
      <c r="V100" s="147"/>
      <c r="W100" s="148">
        <f t="shared" si="42"/>
        <v>4733.38</v>
      </c>
      <c r="X100" s="48"/>
      <c r="Y100" s="197">
        <f t="shared" si="44"/>
        <v>0.59167250000000005</v>
      </c>
      <c r="Z100" s="48"/>
      <c r="AA100" s="178">
        <f t="shared" si="45"/>
        <v>4666.6666666666661</v>
      </c>
      <c r="AB100" s="147"/>
      <c r="AC100" s="147">
        <v>8000</v>
      </c>
      <c r="AD100" s="183"/>
      <c r="AE100" s="183">
        <f t="shared" si="38"/>
        <v>3266.62</v>
      </c>
    </row>
    <row r="101" spans="1:31" ht="17" thickBot="1" x14ac:dyDescent="0.25">
      <c r="A101" s="32"/>
      <c r="B101" s="32"/>
      <c r="C101" s="32"/>
      <c r="D101" s="32" t="s">
        <v>94</v>
      </c>
      <c r="E101" s="32"/>
      <c r="F101" s="32"/>
      <c r="G101" s="129"/>
      <c r="H101" s="146">
        <v>308.67</v>
      </c>
      <c r="I101" s="147">
        <v>308.67</v>
      </c>
      <c r="J101" s="147">
        <v>308.67</v>
      </c>
      <c r="K101" s="147">
        <v>308.67</v>
      </c>
      <c r="L101" s="147">
        <v>308.67</v>
      </c>
      <c r="M101" s="147">
        <v>308.67</v>
      </c>
      <c r="N101" s="147">
        <v>308.67</v>
      </c>
      <c r="O101" s="147"/>
      <c r="P101" s="147"/>
      <c r="Q101" s="147"/>
      <c r="R101" s="147"/>
      <c r="S101" s="257"/>
      <c r="T101" s="229">
        <f t="shared" si="43"/>
        <v>333.33333333333331</v>
      </c>
      <c r="U101" s="147">
        <f t="shared" si="33"/>
        <v>-172.64333333333298</v>
      </c>
      <c r="V101" s="147"/>
      <c r="W101" s="148">
        <f t="shared" si="42"/>
        <v>2160.69</v>
      </c>
      <c r="X101" s="48"/>
      <c r="Y101" s="197">
        <f t="shared" si="44"/>
        <v>0.54017250000000006</v>
      </c>
      <c r="Z101" s="48"/>
      <c r="AA101" s="178">
        <f t="shared" si="45"/>
        <v>2333.333333333333</v>
      </c>
      <c r="AB101" s="147"/>
      <c r="AC101" s="147">
        <v>4000</v>
      </c>
      <c r="AD101" s="183"/>
      <c r="AE101" s="183">
        <f t="shared" si="38"/>
        <v>1839.31</v>
      </c>
    </row>
    <row r="102" spans="1:31" ht="17" thickBot="1" x14ac:dyDescent="0.25">
      <c r="A102" s="32"/>
      <c r="B102" s="32"/>
      <c r="C102" s="104" t="s">
        <v>95</v>
      </c>
      <c r="D102" s="104"/>
      <c r="E102" s="104"/>
      <c r="F102" s="104"/>
      <c r="G102" s="132"/>
      <c r="H102" s="157">
        <f>SUM(H92:H101)</f>
        <v>9934.27</v>
      </c>
      <c r="I102" s="155">
        <f>I92+I93+I95+I94+I96+I97+I98+I99+I100+I101</f>
        <v>11182.49</v>
      </c>
      <c r="J102" s="155">
        <f>J92+J94+J93+J95+J96+J97+J98+J99+J100+J101</f>
        <v>8457.2799999999988</v>
      </c>
      <c r="K102" s="155">
        <f>SUM(K92:K101)</f>
        <v>17880.560000000001</v>
      </c>
      <c r="L102" s="155">
        <f t="shared" ref="L102:S102" si="46">L92+L93+L94+L95+L96+L97+L98+L99+L100+L101</f>
        <v>5977.2199999999993</v>
      </c>
      <c r="M102" s="155">
        <f t="shared" si="46"/>
        <v>9709.58</v>
      </c>
      <c r="N102" s="155">
        <f t="shared" si="46"/>
        <v>5388.0300000000007</v>
      </c>
      <c r="O102" s="155">
        <f t="shared" si="46"/>
        <v>0</v>
      </c>
      <c r="P102" s="155">
        <f t="shared" si="46"/>
        <v>0</v>
      </c>
      <c r="Q102" s="155">
        <f t="shared" si="46"/>
        <v>0</v>
      </c>
      <c r="R102" s="155">
        <f t="shared" si="46"/>
        <v>0</v>
      </c>
      <c r="S102" s="262">
        <f t="shared" si="46"/>
        <v>0</v>
      </c>
      <c r="T102" s="233">
        <f t="shared" si="43"/>
        <v>9000</v>
      </c>
      <c r="U102" s="155">
        <f t="shared" si="33"/>
        <v>5529.4300000000076</v>
      </c>
      <c r="V102" s="155"/>
      <c r="W102" s="156">
        <f>SUM(H102:S102)</f>
        <v>68529.430000000008</v>
      </c>
      <c r="X102" s="53"/>
      <c r="Y102" s="199">
        <f t="shared" si="44"/>
        <v>0.63453175925925931</v>
      </c>
      <c r="Z102" s="53"/>
      <c r="AA102" s="180">
        <f>SUM(AA92:AA101)</f>
        <v>63000</v>
      </c>
      <c r="AB102" s="155">
        <f>SUM(AB92:AB101)</f>
        <v>0</v>
      </c>
      <c r="AC102" s="155">
        <f>SUM(AC93:AC101)</f>
        <v>108000</v>
      </c>
      <c r="AD102" s="187"/>
      <c r="AE102" s="155">
        <f>SUM(AE92:AE101)</f>
        <v>39470.57</v>
      </c>
    </row>
    <row r="103" spans="1:31" ht="16" x14ac:dyDescent="0.2">
      <c r="A103" s="32"/>
      <c r="B103" s="32"/>
      <c r="C103" s="32" t="s">
        <v>96</v>
      </c>
      <c r="D103" s="32"/>
      <c r="E103" s="32"/>
      <c r="F103" s="32"/>
      <c r="G103" s="129"/>
      <c r="H103" s="143"/>
      <c r="I103" s="48"/>
      <c r="J103" s="48"/>
      <c r="K103" s="48"/>
      <c r="L103" s="48"/>
      <c r="M103" s="48"/>
      <c r="N103" s="48"/>
      <c r="O103" s="48"/>
      <c r="P103" s="48"/>
      <c r="Q103" s="48"/>
      <c r="R103" s="48"/>
      <c r="S103" s="261"/>
      <c r="T103" s="234" t="s">
        <v>178</v>
      </c>
      <c r="U103" s="48" t="s">
        <v>178</v>
      </c>
      <c r="V103" s="48"/>
      <c r="W103" s="48"/>
      <c r="X103" s="48"/>
      <c r="Y103" s="48" t="s">
        <v>178</v>
      </c>
      <c r="Z103" s="48"/>
      <c r="AA103" s="147" t="s">
        <v>178</v>
      </c>
      <c r="AB103" s="147"/>
      <c r="AC103" s="147" t="s">
        <v>178</v>
      </c>
      <c r="AD103" s="183"/>
      <c r="AE103" s="183"/>
    </row>
    <row r="104" spans="1:31" ht="16" x14ac:dyDescent="0.2">
      <c r="A104" s="32"/>
      <c r="B104" s="32"/>
      <c r="C104" s="32"/>
      <c r="D104" s="32" t="s">
        <v>97</v>
      </c>
      <c r="E104" s="32"/>
      <c r="F104" s="32"/>
      <c r="G104" s="129"/>
      <c r="H104" s="146">
        <v>466.26</v>
      </c>
      <c r="I104" s="147">
        <v>86.89</v>
      </c>
      <c r="J104" s="147">
        <v>33.18</v>
      </c>
      <c r="K104" s="147">
        <v>546.59</v>
      </c>
      <c r="L104" s="147">
        <v>152.80000000000001</v>
      </c>
      <c r="M104" s="147"/>
      <c r="N104" s="147"/>
      <c r="O104" s="147"/>
      <c r="P104" s="147"/>
      <c r="Q104" s="147"/>
      <c r="R104" s="147"/>
      <c r="S104" s="257"/>
      <c r="T104" s="229">
        <f>AC104/12</f>
        <v>333.33333333333331</v>
      </c>
      <c r="U104" s="147">
        <f t="shared" si="33"/>
        <v>-1047.613333333333</v>
      </c>
      <c r="V104" s="147"/>
      <c r="W104" s="148">
        <f t="shared" ref="W104:W111" si="47">SUM(H104:S104)</f>
        <v>1285.72</v>
      </c>
      <c r="X104" s="48"/>
      <c r="Y104" s="197">
        <f t="shared" ref="Y104:Y110" si="48">W104/AC104</f>
        <v>0.32142999999999999</v>
      </c>
      <c r="Z104" s="48"/>
      <c r="AA104" s="178">
        <f t="shared" ref="AA104:AA109" si="49">AC104/12*$AI$5</f>
        <v>2333.333333333333</v>
      </c>
      <c r="AB104" s="147"/>
      <c r="AC104" s="147">
        <v>4000</v>
      </c>
      <c r="AD104" s="183"/>
      <c r="AE104" s="183">
        <f t="shared" si="38"/>
        <v>2714.2799999999997</v>
      </c>
    </row>
    <row r="105" spans="1:31" ht="16" x14ac:dyDescent="0.2">
      <c r="A105" s="32"/>
      <c r="B105" s="32"/>
      <c r="C105" s="32"/>
      <c r="D105" s="32" t="s">
        <v>98</v>
      </c>
      <c r="E105" s="32"/>
      <c r="F105" s="32"/>
      <c r="G105" s="129"/>
      <c r="H105" s="146">
        <v>196.6</v>
      </c>
      <c r="I105" s="147">
        <v>394.51</v>
      </c>
      <c r="J105" s="147">
        <v>1291.1300000000001</v>
      </c>
      <c r="K105" s="147">
        <v>25.86</v>
      </c>
      <c r="L105" s="147">
        <v>299.29000000000002</v>
      </c>
      <c r="M105" s="147">
        <v>586.73</v>
      </c>
      <c r="N105" s="147">
        <v>2868.97</v>
      </c>
      <c r="O105" s="147"/>
      <c r="P105" s="147"/>
      <c r="Q105" s="147"/>
      <c r="R105" s="147"/>
      <c r="S105" s="257"/>
      <c r="T105" s="229">
        <f>AC105/12</f>
        <v>416.66666666666669</v>
      </c>
      <c r="U105" s="147">
        <f t="shared" si="33"/>
        <v>2746.4233333333332</v>
      </c>
      <c r="V105" s="147"/>
      <c r="W105" s="148">
        <f t="shared" si="47"/>
        <v>5663.09</v>
      </c>
      <c r="X105" s="48"/>
      <c r="Y105" s="197">
        <f t="shared" si="48"/>
        <v>1.1326180000000001</v>
      </c>
      <c r="Z105" s="48"/>
      <c r="AA105" s="178">
        <f t="shared" si="49"/>
        <v>2916.666666666667</v>
      </c>
      <c r="AB105" s="147"/>
      <c r="AC105" s="147">
        <v>5000</v>
      </c>
      <c r="AD105" s="183"/>
      <c r="AE105" s="183">
        <f t="shared" si="38"/>
        <v>-663.09000000000015</v>
      </c>
    </row>
    <row r="106" spans="1:31" ht="16" x14ac:dyDescent="0.2">
      <c r="A106" s="32"/>
      <c r="B106" s="32"/>
      <c r="C106" s="32"/>
      <c r="D106" s="32" t="s">
        <v>99</v>
      </c>
      <c r="E106" s="32"/>
      <c r="F106" s="32"/>
      <c r="G106" s="129"/>
      <c r="H106" s="147"/>
      <c r="I106" s="147"/>
      <c r="J106" s="147"/>
      <c r="K106" s="147"/>
      <c r="L106" s="147"/>
      <c r="M106" s="147"/>
      <c r="N106" s="147"/>
      <c r="O106" s="147"/>
      <c r="P106" s="147"/>
      <c r="Q106" s="147"/>
      <c r="R106" s="147"/>
      <c r="S106" s="257"/>
      <c r="T106" s="229">
        <f>AC106/12</f>
        <v>333.33333333333331</v>
      </c>
      <c r="U106" s="147">
        <f t="shared" si="33"/>
        <v>-2333.333333333333</v>
      </c>
      <c r="V106" s="147"/>
      <c r="W106" s="148">
        <f t="shared" si="47"/>
        <v>0</v>
      </c>
      <c r="X106" s="48"/>
      <c r="Y106" s="197">
        <f t="shared" si="48"/>
        <v>0</v>
      </c>
      <c r="Z106" s="48"/>
      <c r="AA106" s="178">
        <f t="shared" si="49"/>
        <v>2333.333333333333</v>
      </c>
      <c r="AB106" s="147"/>
      <c r="AC106" s="147">
        <v>4000</v>
      </c>
      <c r="AD106" s="183"/>
      <c r="AE106" s="183">
        <f t="shared" si="38"/>
        <v>4000</v>
      </c>
    </row>
    <row r="107" spans="1:31" ht="16" x14ac:dyDescent="0.2">
      <c r="A107" s="32"/>
      <c r="B107" s="32"/>
      <c r="C107" s="32"/>
      <c r="D107" s="32" t="s">
        <v>187</v>
      </c>
      <c r="E107" s="32"/>
      <c r="F107" s="32"/>
      <c r="G107" s="129"/>
      <c r="H107" s="146"/>
      <c r="I107" s="147"/>
      <c r="J107" s="147"/>
      <c r="K107" s="147"/>
      <c r="L107" s="147"/>
      <c r="M107" s="147"/>
      <c r="N107" s="147"/>
      <c r="O107" s="147"/>
      <c r="P107" s="147"/>
      <c r="Q107" s="147"/>
      <c r="R107" s="147"/>
      <c r="S107" s="257"/>
      <c r="T107" s="229"/>
      <c r="U107" s="147">
        <f t="shared" si="33"/>
        <v>0</v>
      </c>
      <c r="V107" s="147"/>
      <c r="W107" s="148">
        <f t="shared" si="47"/>
        <v>0</v>
      </c>
      <c r="X107" s="48"/>
      <c r="Y107" s="197" t="e">
        <f t="shared" si="48"/>
        <v>#DIV/0!</v>
      </c>
      <c r="Z107" s="48"/>
      <c r="AA107" s="178">
        <f t="shared" si="49"/>
        <v>0</v>
      </c>
      <c r="AB107" s="147"/>
      <c r="AC107" s="147"/>
      <c r="AD107" s="183"/>
      <c r="AE107" s="183">
        <f t="shared" si="38"/>
        <v>0</v>
      </c>
    </row>
    <row r="108" spans="1:31" ht="16" x14ac:dyDescent="0.2">
      <c r="A108" s="32"/>
      <c r="B108" s="32"/>
      <c r="C108" s="32"/>
      <c r="D108" s="32" t="s">
        <v>188</v>
      </c>
      <c r="E108" s="32"/>
      <c r="F108" s="32"/>
      <c r="G108" s="129"/>
      <c r="H108" s="146"/>
      <c r="I108" s="147"/>
      <c r="J108" s="147"/>
      <c r="K108" s="147"/>
      <c r="L108" s="147"/>
      <c r="M108" s="147"/>
      <c r="N108" s="147"/>
      <c r="O108" s="147"/>
      <c r="P108" s="147"/>
      <c r="Q108" s="147"/>
      <c r="R108" s="147"/>
      <c r="S108" s="257"/>
      <c r="T108" s="229"/>
      <c r="U108" s="147">
        <f t="shared" si="33"/>
        <v>0</v>
      </c>
      <c r="V108" s="147"/>
      <c r="W108" s="148">
        <f t="shared" si="47"/>
        <v>0</v>
      </c>
      <c r="X108" s="48"/>
      <c r="Y108" s="197" t="e">
        <f t="shared" si="48"/>
        <v>#DIV/0!</v>
      </c>
      <c r="Z108" s="48"/>
      <c r="AA108" s="178">
        <f t="shared" si="49"/>
        <v>0</v>
      </c>
      <c r="AB108" s="147"/>
      <c r="AC108" s="147">
        <v>0</v>
      </c>
      <c r="AD108" s="183"/>
      <c r="AE108" s="183">
        <f t="shared" si="38"/>
        <v>0</v>
      </c>
    </row>
    <row r="109" spans="1:31" ht="16" x14ac:dyDescent="0.2">
      <c r="A109" s="32"/>
      <c r="B109" s="32"/>
      <c r="C109" s="32"/>
      <c r="D109" s="32" t="s">
        <v>171</v>
      </c>
      <c r="E109" s="32"/>
      <c r="F109" s="32"/>
      <c r="G109" s="129"/>
      <c r="H109" s="146">
        <v>434.78</v>
      </c>
      <c r="I109" s="147">
        <v>855.21</v>
      </c>
      <c r="J109" s="147">
        <v>122.5</v>
      </c>
      <c r="K109" s="147">
        <v>157.94999999999999</v>
      </c>
      <c r="L109" s="147">
        <v>671.02</v>
      </c>
      <c r="M109" s="147">
        <v>387.85</v>
      </c>
      <c r="N109" s="147">
        <v>357.69</v>
      </c>
      <c r="O109" s="147"/>
      <c r="P109" s="147"/>
      <c r="Q109" s="147"/>
      <c r="R109" s="147"/>
      <c r="S109" s="257"/>
      <c r="T109" s="229">
        <f>AC109/12</f>
        <v>500</v>
      </c>
      <c r="U109" s="147">
        <f t="shared" si="33"/>
        <v>-513</v>
      </c>
      <c r="V109" s="147"/>
      <c r="W109" s="148">
        <f t="shared" si="47"/>
        <v>2987</v>
      </c>
      <c r="X109" s="48"/>
      <c r="Y109" s="197">
        <f t="shared" si="48"/>
        <v>0.49783333333333335</v>
      </c>
      <c r="Z109" s="48"/>
      <c r="AA109" s="178">
        <f t="shared" si="49"/>
        <v>3500</v>
      </c>
      <c r="AB109" s="147"/>
      <c r="AC109" s="147">
        <v>6000</v>
      </c>
      <c r="AD109" s="183"/>
      <c r="AE109" s="183">
        <f t="shared" si="38"/>
        <v>3013</v>
      </c>
    </row>
    <row r="110" spans="1:31" ht="17" thickBot="1" x14ac:dyDescent="0.25">
      <c r="A110" s="32"/>
      <c r="B110" s="32"/>
      <c r="C110" s="32"/>
      <c r="D110" s="32" t="s">
        <v>193</v>
      </c>
      <c r="E110" s="32"/>
      <c r="F110" s="32"/>
      <c r="G110" s="129"/>
      <c r="H110" s="146"/>
      <c r="I110" s="147"/>
      <c r="J110" s="147"/>
      <c r="K110" s="147"/>
      <c r="L110" s="147"/>
      <c r="M110" s="147">
        <v>182.59</v>
      </c>
      <c r="N110" s="147"/>
      <c r="O110" s="147"/>
      <c r="P110" s="147"/>
      <c r="Q110" s="147"/>
      <c r="R110" s="147"/>
      <c r="S110" s="257"/>
      <c r="T110" s="229">
        <f>AC110/12</f>
        <v>58.333333333333336</v>
      </c>
      <c r="U110" s="147">
        <f>W110-AA110</f>
        <v>-225.74333333333337</v>
      </c>
      <c r="V110" s="147"/>
      <c r="W110" s="148">
        <f t="shared" si="47"/>
        <v>182.59</v>
      </c>
      <c r="X110" s="48"/>
      <c r="Y110" s="197">
        <f t="shared" si="48"/>
        <v>0.26084285714285715</v>
      </c>
      <c r="Z110" s="48"/>
      <c r="AA110" s="178">
        <f>AC110/12*$AI$5</f>
        <v>408.33333333333337</v>
      </c>
      <c r="AB110" s="147"/>
      <c r="AC110" s="147">
        <v>700</v>
      </c>
      <c r="AD110" s="183"/>
      <c r="AE110" s="183">
        <f t="shared" si="38"/>
        <v>517.41</v>
      </c>
    </row>
    <row r="111" spans="1:31" ht="17" thickBot="1" x14ac:dyDescent="0.25">
      <c r="A111" s="32"/>
      <c r="B111" s="32"/>
      <c r="C111" s="32" t="s">
        <v>100</v>
      </c>
      <c r="D111" s="104"/>
      <c r="E111" s="104"/>
      <c r="F111" s="104"/>
      <c r="G111" s="132"/>
      <c r="H111" s="157">
        <f>SUM(H104:H110)</f>
        <v>1097.6399999999999</v>
      </c>
      <c r="I111" s="155">
        <f t="shared" ref="I111:S111" si="50">I104+I105+I106+I109+I110</f>
        <v>1336.6100000000001</v>
      </c>
      <c r="J111" s="155">
        <f t="shared" si="50"/>
        <v>1446.8100000000002</v>
      </c>
      <c r="K111" s="155">
        <f t="shared" si="50"/>
        <v>730.40000000000009</v>
      </c>
      <c r="L111" s="155">
        <f t="shared" si="50"/>
        <v>1123.1100000000001</v>
      </c>
      <c r="M111" s="155">
        <f t="shared" si="50"/>
        <v>1157.17</v>
      </c>
      <c r="N111" s="155">
        <f t="shared" si="50"/>
        <v>3226.66</v>
      </c>
      <c r="O111" s="155">
        <f t="shared" si="50"/>
        <v>0</v>
      </c>
      <c r="P111" s="155">
        <f t="shared" si="50"/>
        <v>0</v>
      </c>
      <c r="Q111" s="155">
        <f t="shared" si="50"/>
        <v>0</v>
      </c>
      <c r="R111" s="155">
        <f t="shared" si="50"/>
        <v>0</v>
      </c>
      <c r="S111" s="262">
        <f t="shared" si="50"/>
        <v>0</v>
      </c>
      <c r="T111" s="233">
        <f>AC111/12</f>
        <v>1641.6666666666667</v>
      </c>
      <c r="U111" s="155">
        <f t="shared" si="33"/>
        <v>-1373.2666666666646</v>
      </c>
      <c r="V111" s="155"/>
      <c r="W111" s="156">
        <f t="shared" si="47"/>
        <v>10118.400000000001</v>
      </c>
      <c r="X111" s="53"/>
      <c r="Y111" s="199">
        <f>W111/AC111</f>
        <v>0.51362436548223356</v>
      </c>
      <c r="Z111" s="53"/>
      <c r="AA111" s="180">
        <f>SUM(AA104:AA110)</f>
        <v>11491.666666666666</v>
      </c>
      <c r="AB111" s="155">
        <f>SUM(AB104:AB109)</f>
        <v>0</v>
      </c>
      <c r="AC111" s="155">
        <f>SUM(AC104:AC110)</f>
        <v>19700</v>
      </c>
      <c r="AD111" s="187"/>
      <c r="AE111" s="155">
        <f>SUM(AE104:AE110)</f>
        <v>9581.5999999999985</v>
      </c>
    </row>
    <row r="112" spans="1:31" ht="16" x14ac:dyDescent="0.2">
      <c r="A112" s="32"/>
      <c r="B112" s="32"/>
      <c r="C112" s="32" t="s">
        <v>101</v>
      </c>
      <c r="D112" s="32"/>
      <c r="E112" s="32"/>
      <c r="F112" s="32"/>
      <c r="G112" s="129"/>
      <c r="H112" s="143"/>
      <c r="I112" s="48"/>
      <c r="J112" s="48"/>
      <c r="K112" s="48"/>
      <c r="L112" s="48"/>
      <c r="M112" s="48"/>
      <c r="N112" s="48"/>
      <c r="O112" s="48"/>
      <c r="P112" s="48"/>
      <c r="Q112" s="48"/>
      <c r="R112" s="48"/>
      <c r="S112" s="261"/>
      <c r="T112" s="234"/>
      <c r="U112" s="48"/>
      <c r="V112" s="48"/>
      <c r="W112" s="48"/>
      <c r="X112" s="48"/>
      <c r="Y112" s="48"/>
      <c r="Z112" s="48"/>
      <c r="AA112" s="147"/>
      <c r="AB112" s="147"/>
      <c r="AC112" s="147"/>
      <c r="AD112" s="183"/>
      <c r="AE112" s="183"/>
    </row>
    <row r="113" spans="1:31" ht="16" x14ac:dyDescent="0.2">
      <c r="A113" s="32"/>
      <c r="B113" s="32"/>
      <c r="C113" s="32"/>
      <c r="D113" s="32"/>
      <c r="E113" s="32"/>
      <c r="F113" s="32"/>
      <c r="G113" s="129"/>
      <c r="H113" s="143"/>
      <c r="I113" s="48"/>
      <c r="J113" s="48"/>
      <c r="K113" s="48"/>
      <c r="L113" s="48"/>
      <c r="M113" s="48"/>
      <c r="N113" s="48"/>
      <c r="O113" s="48"/>
      <c r="P113" s="48"/>
      <c r="Q113" s="48"/>
      <c r="R113" s="48"/>
      <c r="S113" s="261"/>
      <c r="T113" s="234">
        <f t="shared" si="29"/>
        <v>625</v>
      </c>
      <c r="U113" s="48">
        <f t="shared" si="33"/>
        <v>0</v>
      </c>
      <c r="V113" s="48"/>
      <c r="W113" s="82">
        <f>SUM(H113:R113)</f>
        <v>0</v>
      </c>
      <c r="X113" s="48"/>
      <c r="Y113" s="48">
        <f t="shared" ref="Y113:Y137" si="51">W113/AC113</f>
        <v>0</v>
      </c>
      <c r="Z113" s="48"/>
      <c r="AA113" s="178"/>
      <c r="AB113" s="147"/>
      <c r="AC113" s="147">
        <v>7500</v>
      </c>
      <c r="AD113" s="183"/>
      <c r="AE113" s="183"/>
    </row>
    <row r="114" spans="1:31" ht="16" x14ac:dyDescent="0.2">
      <c r="A114" s="32"/>
      <c r="B114" s="32"/>
      <c r="C114" s="32"/>
      <c r="D114" s="32" t="s">
        <v>102</v>
      </c>
      <c r="E114" s="32"/>
      <c r="F114" s="32"/>
      <c r="G114" s="129"/>
      <c r="H114" s="146"/>
      <c r="I114" s="147"/>
      <c r="J114" s="147"/>
      <c r="K114" s="147"/>
      <c r="L114" s="147"/>
      <c r="M114" s="147"/>
      <c r="N114" s="147"/>
      <c r="O114" s="147"/>
      <c r="P114" s="147"/>
      <c r="Q114" s="147"/>
      <c r="R114" s="147"/>
      <c r="S114" s="257"/>
      <c r="T114" s="229">
        <f>AC114/12</f>
        <v>25</v>
      </c>
      <c r="U114" s="147">
        <f t="shared" si="33"/>
        <v>-175</v>
      </c>
      <c r="V114" s="147"/>
      <c r="W114" s="148">
        <f t="shared" ref="W114:W123" si="52">SUM(H114:S114)</f>
        <v>0</v>
      </c>
      <c r="X114" s="48"/>
      <c r="Y114" s="197">
        <f t="shared" si="51"/>
        <v>0</v>
      </c>
      <c r="Z114" s="48"/>
      <c r="AA114" s="178">
        <f t="shared" ref="AA114:AA135" si="53">AC114/12*$AI$5</f>
        <v>175</v>
      </c>
      <c r="AB114" s="147"/>
      <c r="AC114" s="147">
        <v>300</v>
      </c>
      <c r="AD114" s="183"/>
      <c r="AE114" s="183">
        <f t="shared" si="38"/>
        <v>300</v>
      </c>
    </row>
    <row r="115" spans="1:31" ht="16" x14ac:dyDescent="0.2">
      <c r="A115" s="32"/>
      <c r="B115" s="32"/>
      <c r="C115" s="32"/>
      <c r="D115" s="32" t="s">
        <v>103</v>
      </c>
      <c r="E115" s="32"/>
      <c r="F115" s="32"/>
      <c r="G115" s="129"/>
      <c r="H115" s="146"/>
      <c r="I115" s="147"/>
      <c r="J115" s="147"/>
      <c r="K115" s="147"/>
      <c r="L115" s="147"/>
      <c r="M115" s="147"/>
      <c r="N115" s="147">
        <v>-5</v>
      </c>
      <c r="O115" s="147"/>
      <c r="P115" s="147"/>
      <c r="Q115" s="147"/>
      <c r="R115" s="147"/>
      <c r="S115" s="257"/>
      <c r="T115" s="229">
        <f>AC115/12</f>
        <v>250</v>
      </c>
      <c r="U115" s="147">
        <f t="shared" si="33"/>
        <v>-1755</v>
      </c>
      <c r="V115" s="147"/>
      <c r="W115" s="148">
        <f t="shared" si="52"/>
        <v>-5</v>
      </c>
      <c r="X115" s="48"/>
      <c r="Y115" s="197">
        <f t="shared" si="51"/>
        <v>-1.6666666666666668E-3</v>
      </c>
      <c r="Z115" s="48"/>
      <c r="AA115" s="178">
        <f t="shared" si="53"/>
        <v>1750</v>
      </c>
      <c r="AB115" s="147"/>
      <c r="AC115" s="147">
        <v>3000</v>
      </c>
      <c r="AD115" s="183"/>
      <c r="AE115" s="183">
        <f t="shared" si="38"/>
        <v>3005</v>
      </c>
    </row>
    <row r="116" spans="1:31" ht="16" x14ac:dyDescent="0.2">
      <c r="A116" s="32"/>
      <c r="B116" s="32"/>
      <c r="C116" s="32"/>
      <c r="D116" s="32" t="s">
        <v>104</v>
      </c>
      <c r="E116" s="32"/>
      <c r="F116" s="32"/>
      <c r="G116" s="129"/>
      <c r="H116" s="146">
        <v>35.840000000000003</v>
      </c>
      <c r="I116" s="147">
        <v>73.5</v>
      </c>
      <c r="J116" s="147">
        <v>4510.74</v>
      </c>
      <c r="K116" s="147">
        <v>53.7</v>
      </c>
      <c r="L116" s="147">
        <v>0</v>
      </c>
      <c r="M116" s="147">
        <v>7.85</v>
      </c>
      <c r="N116" s="147"/>
      <c r="O116" s="147"/>
      <c r="P116" s="147"/>
      <c r="Q116" s="147"/>
      <c r="R116" s="147"/>
      <c r="S116" s="257"/>
      <c r="T116" s="229">
        <f>AC116/12</f>
        <v>1250</v>
      </c>
      <c r="U116" s="147">
        <f t="shared" si="33"/>
        <v>-4068.37</v>
      </c>
      <c r="V116" s="147"/>
      <c r="W116" s="148">
        <f t="shared" si="52"/>
        <v>4681.63</v>
      </c>
      <c r="X116" s="48"/>
      <c r="Y116" s="197">
        <f t="shared" si="51"/>
        <v>0.3121086666666667</v>
      </c>
      <c r="Z116" s="48"/>
      <c r="AA116" s="178">
        <f t="shared" si="53"/>
        <v>8750</v>
      </c>
      <c r="AB116" s="147"/>
      <c r="AC116" s="147">
        <v>15000</v>
      </c>
      <c r="AD116" s="183"/>
      <c r="AE116" s="183">
        <f t="shared" si="38"/>
        <v>10318.369999999999</v>
      </c>
    </row>
    <row r="117" spans="1:31" ht="16" x14ac:dyDescent="0.2">
      <c r="A117" s="32"/>
      <c r="B117" s="32"/>
      <c r="C117" s="32"/>
      <c r="D117" s="32" t="s">
        <v>105</v>
      </c>
      <c r="E117" s="32"/>
      <c r="F117" s="32"/>
      <c r="G117" s="129"/>
      <c r="H117" s="146"/>
      <c r="I117" s="147"/>
      <c r="J117" s="147">
        <v>-607.28</v>
      </c>
      <c r="K117" s="147">
        <v>607.28</v>
      </c>
      <c r="L117" s="147"/>
      <c r="M117" s="147">
        <v>607.28</v>
      </c>
      <c r="N117" s="147">
        <v>607.28</v>
      </c>
      <c r="O117" s="147"/>
      <c r="P117" s="147"/>
      <c r="Q117" s="147"/>
      <c r="R117" s="147"/>
      <c r="S117" s="257"/>
      <c r="T117" s="229">
        <f>AC117/12</f>
        <v>208.33333333333334</v>
      </c>
      <c r="U117" s="147">
        <f t="shared" si="33"/>
        <v>-243.77333333333354</v>
      </c>
      <c r="V117" s="147"/>
      <c r="W117" s="148">
        <f t="shared" si="52"/>
        <v>1214.56</v>
      </c>
      <c r="X117" s="48"/>
      <c r="Y117" s="197">
        <f t="shared" si="51"/>
        <v>0.48582399999999998</v>
      </c>
      <c r="Z117" s="48"/>
      <c r="AA117" s="178">
        <f t="shared" si="53"/>
        <v>1458.3333333333335</v>
      </c>
      <c r="AB117" s="147"/>
      <c r="AC117" s="147">
        <v>2500</v>
      </c>
      <c r="AD117" s="183"/>
      <c r="AE117" s="183">
        <f t="shared" si="38"/>
        <v>1285.44</v>
      </c>
    </row>
    <row r="118" spans="1:31" ht="16" x14ac:dyDescent="0.2">
      <c r="A118" s="32"/>
      <c r="B118" s="32"/>
      <c r="C118" s="32"/>
      <c r="D118" s="32" t="s">
        <v>106</v>
      </c>
      <c r="E118" s="32"/>
      <c r="F118" s="32"/>
      <c r="G118" s="129"/>
      <c r="H118" s="146">
        <v>1078.8599999999999</v>
      </c>
      <c r="I118" s="147">
        <v>450.74</v>
      </c>
      <c r="J118" s="147"/>
      <c r="K118" s="147"/>
      <c r="L118" s="147"/>
      <c r="M118" s="147">
        <v>613.98</v>
      </c>
      <c r="N118" s="147"/>
      <c r="O118" s="147"/>
      <c r="P118" s="147"/>
      <c r="Q118" s="147"/>
      <c r="R118" s="147"/>
      <c r="S118" s="257"/>
      <c r="T118" s="229">
        <f>AC118/12</f>
        <v>250</v>
      </c>
      <c r="U118" s="147">
        <f t="shared" si="33"/>
        <v>393.57999999999993</v>
      </c>
      <c r="V118" s="147"/>
      <c r="W118" s="148">
        <f t="shared" si="52"/>
        <v>2143.58</v>
      </c>
      <c r="X118" s="48"/>
      <c r="Y118" s="197">
        <f t="shared" si="51"/>
        <v>0.71452666666666664</v>
      </c>
      <c r="Z118" s="48"/>
      <c r="AA118" s="178">
        <f t="shared" si="53"/>
        <v>1750</v>
      </c>
      <c r="AB118" s="147"/>
      <c r="AC118" s="147">
        <v>3000</v>
      </c>
      <c r="AD118" s="183"/>
      <c r="AE118" s="183">
        <f t="shared" si="38"/>
        <v>856.42000000000007</v>
      </c>
    </row>
    <row r="119" spans="1:31" ht="16" x14ac:dyDescent="0.2">
      <c r="A119" s="32"/>
      <c r="B119" s="32"/>
      <c r="C119" s="32"/>
      <c r="D119" s="32" t="s">
        <v>107</v>
      </c>
      <c r="E119" s="32"/>
      <c r="F119" s="32"/>
      <c r="G119" s="129"/>
      <c r="H119" s="146">
        <v>57.52</v>
      </c>
      <c r="I119" s="147">
        <v>820.05</v>
      </c>
      <c r="J119" s="147">
        <v>477.58</v>
      </c>
      <c r="K119" s="147">
        <v>271.05</v>
      </c>
      <c r="L119" s="147">
        <v>286.22000000000003</v>
      </c>
      <c r="M119" s="147">
        <v>267.89</v>
      </c>
      <c r="N119" s="147">
        <v>2974.96</v>
      </c>
      <c r="O119" s="147"/>
      <c r="P119" s="147"/>
      <c r="Q119" s="147"/>
      <c r="R119" s="147"/>
      <c r="S119" s="257"/>
      <c r="T119" s="229">
        <f t="shared" ref="T119:T132" si="54">AC119/12</f>
        <v>416.66666666666669</v>
      </c>
      <c r="U119" s="147">
        <f t="shared" si="33"/>
        <v>2238.6033333333335</v>
      </c>
      <c r="V119" s="147"/>
      <c r="W119" s="148">
        <f t="shared" si="52"/>
        <v>5155.2700000000004</v>
      </c>
      <c r="X119" s="48"/>
      <c r="Y119" s="197">
        <f t="shared" si="51"/>
        <v>1.0310540000000001</v>
      </c>
      <c r="Z119" s="48"/>
      <c r="AA119" s="178">
        <f t="shared" si="53"/>
        <v>2916.666666666667</v>
      </c>
      <c r="AB119" s="147"/>
      <c r="AC119" s="147">
        <v>5000</v>
      </c>
      <c r="AD119" s="183"/>
      <c r="AE119" s="183">
        <f t="shared" si="38"/>
        <v>-155.27000000000044</v>
      </c>
    </row>
    <row r="120" spans="1:31" ht="16" x14ac:dyDescent="0.2">
      <c r="A120" s="32"/>
      <c r="B120" s="32"/>
      <c r="C120" s="32"/>
      <c r="D120" s="32" t="s">
        <v>108</v>
      </c>
      <c r="E120" s="32"/>
      <c r="F120" s="32"/>
      <c r="G120" s="129"/>
      <c r="H120" s="146">
        <v>405.33</v>
      </c>
      <c r="I120" s="147">
        <v>405.33</v>
      </c>
      <c r="J120" s="147">
        <v>405.33</v>
      </c>
      <c r="K120" s="147">
        <v>405.33</v>
      </c>
      <c r="L120" s="147">
        <v>474.87</v>
      </c>
      <c r="M120" s="147">
        <v>197.3</v>
      </c>
      <c r="N120" s="147">
        <v>405.15</v>
      </c>
      <c r="O120" s="147"/>
      <c r="P120" s="147"/>
      <c r="Q120" s="147"/>
      <c r="R120" s="147"/>
      <c r="S120" s="257"/>
      <c r="T120" s="229">
        <f t="shared" si="54"/>
        <v>375</v>
      </c>
      <c r="U120" s="147">
        <f t="shared" si="33"/>
        <v>73.640000000000327</v>
      </c>
      <c r="V120" s="147"/>
      <c r="W120" s="148">
        <f t="shared" si="52"/>
        <v>2698.6400000000003</v>
      </c>
      <c r="X120" s="48"/>
      <c r="Y120" s="197">
        <f t="shared" si="51"/>
        <v>0.59969777777777789</v>
      </c>
      <c r="Z120" s="48"/>
      <c r="AA120" s="178">
        <f t="shared" si="53"/>
        <v>2625</v>
      </c>
      <c r="AB120" s="147"/>
      <c r="AC120" s="147">
        <v>4500</v>
      </c>
      <c r="AD120" s="183"/>
      <c r="AE120" s="183">
        <f t="shared" si="38"/>
        <v>1801.3599999999997</v>
      </c>
    </row>
    <row r="121" spans="1:31" ht="16" x14ac:dyDescent="0.2">
      <c r="A121" s="32"/>
      <c r="B121" s="32"/>
      <c r="C121" s="32"/>
      <c r="D121" s="32" t="s">
        <v>109</v>
      </c>
      <c r="E121" s="32"/>
      <c r="F121" s="32"/>
      <c r="G121" s="129"/>
      <c r="H121" s="146">
        <v>163</v>
      </c>
      <c r="I121" s="147">
        <v>10</v>
      </c>
      <c r="J121" s="147">
        <v>228.06</v>
      </c>
      <c r="K121" s="147">
        <v>208.96</v>
      </c>
      <c r="L121" s="147">
        <v>212.38</v>
      </c>
      <c r="M121" s="147">
        <v>136.6</v>
      </c>
      <c r="N121" s="147">
        <v>131.91999999999999</v>
      </c>
      <c r="O121" s="147"/>
      <c r="P121" s="147"/>
      <c r="Q121" s="147"/>
      <c r="R121" s="147"/>
      <c r="S121" s="257"/>
      <c r="T121" s="229">
        <f t="shared" si="54"/>
        <v>166.66666666666666</v>
      </c>
      <c r="U121" s="147">
        <f t="shared" si="33"/>
        <v>-75.746666666666442</v>
      </c>
      <c r="V121" s="147"/>
      <c r="W121" s="148">
        <f t="shared" si="52"/>
        <v>1090.92</v>
      </c>
      <c r="X121" s="48"/>
      <c r="Y121" s="197">
        <f t="shared" si="51"/>
        <v>0.54546000000000006</v>
      </c>
      <c r="Z121" s="48"/>
      <c r="AA121" s="178">
        <f t="shared" si="53"/>
        <v>1166.6666666666665</v>
      </c>
      <c r="AB121" s="147"/>
      <c r="AC121" s="147">
        <v>2000</v>
      </c>
      <c r="AD121" s="183"/>
      <c r="AE121" s="183">
        <f t="shared" si="38"/>
        <v>909.07999999999993</v>
      </c>
    </row>
    <row r="122" spans="1:31" ht="16" x14ac:dyDescent="0.2">
      <c r="A122" s="32"/>
      <c r="B122" s="32"/>
      <c r="C122" s="32"/>
      <c r="D122" s="32" t="s">
        <v>110</v>
      </c>
      <c r="E122" s="32"/>
      <c r="F122" s="32"/>
      <c r="G122" s="129"/>
      <c r="H122" s="146"/>
      <c r="I122" s="147"/>
      <c r="J122" s="147">
        <v>11</v>
      </c>
      <c r="K122" s="147"/>
      <c r="L122" s="147"/>
      <c r="M122" s="147">
        <v>28.5</v>
      </c>
      <c r="N122" s="147"/>
      <c r="O122" s="147"/>
      <c r="P122" s="147"/>
      <c r="Q122" s="147"/>
      <c r="R122" s="147"/>
      <c r="S122" s="257"/>
      <c r="T122" s="229">
        <f t="shared" si="54"/>
        <v>2.0833333333333335</v>
      </c>
      <c r="U122" s="147">
        <f t="shared" si="33"/>
        <v>24.916666666666664</v>
      </c>
      <c r="V122" s="147"/>
      <c r="W122" s="148">
        <f t="shared" si="52"/>
        <v>39.5</v>
      </c>
      <c r="X122" s="48"/>
      <c r="Y122" s="197">
        <f t="shared" si="51"/>
        <v>1.58</v>
      </c>
      <c r="Z122" s="48"/>
      <c r="AA122" s="178">
        <f t="shared" si="53"/>
        <v>14.583333333333334</v>
      </c>
      <c r="AB122" s="147"/>
      <c r="AC122" s="147">
        <v>25</v>
      </c>
      <c r="AD122" s="183"/>
      <c r="AE122" s="183">
        <f t="shared" si="38"/>
        <v>-14.5</v>
      </c>
    </row>
    <row r="123" spans="1:31" ht="16" x14ac:dyDescent="0.2">
      <c r="A123" s="32"/>
      <c r="B123" s="32"/>
      <c r="C123" s="32"/>
      <c r="D123" s="32" t="s">
        <v>220</v>
      </c>
      <c r="E123" s="32"/>
      <c r="F123" s="32"/>
      <c r="G123" s="129"/>
      <c r="H123" s="146"/>
      <c r="I123" s="147"/>
      <c r="J123" s="147"/>
      <c r="K123" s="147"/>
      <c r="L123" s="147">
        <v>6402.69</v>
      </c>
      <c r="M123" s="147"/>
      <c r="N123" s="147"/>
      <c r="O123" s="147"/>
      <c r="P123" s="147"/>
      <c r="Q123" s="147"/>
      <c r="R123" s="147"/>
      <c r="S123" s="257"/>
      <c r="T123" s="229">
        <f t="shared" si="54"/>
        <v>0</v>
      </c>
      <c r="U123" s="147">
        <f t="shared" si="33"/>
        <v>6402.69</v>
      </c>
      <c r="V123" s="147"/>
      <c r="W123" s="148">
        <f t="shared" si="52"/>
        <v>6402.69</v>
      </c>
      <c r="X123" s="48"/>
      <c r="Y123" s="197" t="e">
        <f t="shared" si="51"/>
        <v>#DIV/0!</v>
      </c>
      <c r="Z123" s="48"/>
      <c r="AA123" s="178">
        <f t="shared" si="53"/>
        <v>0</v>
      </c>
      <c r="AB123" s="147"/>
      <c r="AC123" s="147"/>
      <c r="AD123" s="183"/>
      <c r="AE123" s="183">
        <f t="shared" si="38"/>
        <v>-6402.69</v>
      </c>
    </row>
    <row r="124" spans="1:31" ht="16" x14ac:dyDescent="0.2">
      <c r="A124" s="32"/>
      <c r="B124" s="32"/>
      <c r="C124" s="32"/>
      <c r="D124" s="32" t="s">
        <v>111</v>
      </c>
      <c r="E124" s="32"/>
      <c r="F124" s="32"/>
      <c r="G124" s="129"/>
      <c r="H124" s="146"/>
      <c r="I124" s="147">
        <v>649.5</v>
      </c>
      <c r="J124" s="147"/>
      <c r="K124" s="147"/>
      <c r="L124" s="147"/>
      <c r="M124" s="147"/>
      <c r="N124" s="147"/>
      <c r="O124" s="147"/>
      <c r="P124" s="147"/>
      <c r="Q124" s="147"/>
      <c r="R124" s="147"/>
      <c r="S124" s="257"/>
      <c r="T124" s="229">
        <f t="shared" si="54"/>
        <v>83.333333333333329</v>
      </c>
      <c r="U124" s="147">
        <f t="shared" si="33"/>
        <v>66.166666666666742</v>
      </c>
      <c r="V124" s="147"/>
      <c r="W124" s="148">
        <f t="shared" ref="W124:W132" si="55">SUM(H124:S124)</f>
        <v>649.5</v>
      </c>
      <c r="X124" s="48"/>
      <c r="Y124" s="197">
        <f t="shared" si="51"/>
        <v>0.64949999999999997</v>
      </c>
      <c r="Z124" s="48"/>
      <c r="AA124" s="178">
        <f t="shared" si="53"/>
        <v>583.33333333333326</v>
      </c>
      <c r="AB124" s="147"/>
      <c r="AC124" s="147">
        <v>1000</v>
      </c>
      <c r="AD124" s="183"/>
      <c r="AE124" s="183">
        <f t="shared" si="38"/>
        <v>350.5</v>
      </c>
    </row>
    <row r="125" spans="1:31" ht="16" x14ac:dyDescent="0.2">
      <c r="A125" s="32"/>
      <c r="B125" s="32"/>
      <c r="C125" s="32"/>
      <c r="D125" s="32" t="s">
        <v>112</v>
      </c>
      <c r="E125" s="32"/>
      <c r="F125" s="32"/>
      <c r="G125" s="129"/>
      <c r="H125" s="146">
        <v>192</v>
      </c>
      <c r="I125" s="147">
        <v>1766</v>
      </c>
      <c r="J125" s="147">
        <v>337</v>
      </c>
      <c r="K125" s="147">
        <v>136</v>
      </c>
      <c r="L125" s="147">
        <v>363</v>
      </c>
      <c r="M125" s="147">
        <v>41</v>
      </c>
      <c r="N125" s="147">
        <v>321</v>
      </c>
      <c r="O125" s="147"/>
      <c r="P125" s="147"/>
      <c r="Q125" s="147"/>
      <c r="R125" s="147"/>
      <c r="S125" s="257"/>
      <c r="T125" s="229">
        <f t="shared" si="54"/>
        <v>666.66666666666663</v>
      </c>
      <c r="U125" s="147">
        <f t="shared" si="33"/>
        <v>-1510.6666666666661</v>
      </c>
      <c r="V125" s="147"/>
      <c r="W125" s="148">
        <f t="shared" si="55"/>
        <v>3156</v>
      </c>
      <c r="X125" s="48"/>
      <c r="Y125" s="197">
        <f t="shared" si="51"/>
        <v>0.39450000000000002</v>
      </c>
      <c r="Z125" s="48"/>
      <c r="AA125" s="178">
        <f t="shared" si="53"/>
        <v>4666.6666666666661</v>
      </c>
      <c r="AB125" s="147"/>
      <c r="AC125" s="147">
        <v>8000</v>
      </c>
      <c r="AD125" s="183"/>
      <c r="AE125" s="183">
        <f t="shared" si="38"/>
        <v>4844</v>
      </c>
    </row>
    <row r="126" spans="1:31" ht="16" x14ac:dyDescent="0.2">
      <c r="A126" s="32"/>
      <c r="B126" s="32"/>
      <c r="C126" s="32"/>
      <c r="D126" s="32" t="s">
        <v>113</v>
      </c>
      <c r="E126" s="32"/>
      <c r="F126" s="32"/>
      <c r="G126" s="129"/>
      <c r="H126" s="146"/>
      <c r="I126" s="147"/>
      <c r="J126" s="147"/>
      <c r="K126" s="147"/>
      <c r="L126" s="147"/>
      <c r="M126" s="147"/>
      <c r="N126" s="147"/>
      <c r="O126" s="147"/>
      <c r="P126" s="147"/>
      <c r="Q126" s="147"/>
      <c r="R126" s="147"/>
      <c r="S126" s="257"/>
      <c r="T126" s="229">
        <f t="shared" si="54"/>
        <v>0</v>
      </c>
      <c r="U126" s="147">
        <f t="shared" si="33"/>
        <v>0</v>
      </c>
      <c r="V126" s="147"/>
      <c r="W126" s="148">
        <f t="shared" si="55"/>
        <v>0</v>
      </c>
      <c r="X126" s="48"/>
      <c r="Y126" s="197" t="e">
        <f t="shared" si="51"/>
        <v>#DIV/0!</v>
      </c>
      <c r="Z126" s="48"/>
      <c r="AA126" s="178">
        <f t="shared" si="53"/>
        <v>0</v>
      </c>
      <c r="AB126" s="147"/>
      <c r="AC126" s="147">
        <v>0</v>
      </c>
      <c r="AD126" s="183"/>
      <c r="AE126" s="183">
        <f t="shared" si="38"/>
        <v>0</v>
      </c>
    </row>
    <row r="127" spans="1:31" ht="16" x14ac:dyDescent="0.2">
      <c r="A127" s="32"/>
      <c r="B127" s="32"/>
      <c r="C127" s="32"/>
      <c r="D127" s="32" t="s">
        <v>114</v>
      </c>
      <c r="E127" s="32"/>
      <c r="F127" s="32"/>
      <c r="G127" s="129"/>
      <c r="H127" s="146">
        <v>2065.83</v>
      </c>
      <c r="I127" s="147">
        <v>2065.83</v>
      </c>
      <c r="J127" s="147">
        <v>2065.83</v>
      </c>
      <c r="K127" s="147">
        <v>2066</v>
      </c>
      <c r="L127" s="147">
        <v>2065.83</v>
      </c>
      <c r="M127" s="147">
        <v>2065.83</v>
      </c>
      <c r="N127" s="147"/>
      <c r="O127" s="147"/>
      <c r="P127" s="147"/>
      <c r="Q127" s="147"/>
      <c r="R127" s="147"/>
      <c r="S127" s="257"/>
      <c r="T127" s="229">
        <f t="shared" si="54"/>
        <v>1666.6666666666667</v>
      </c>
      <c r="U127" s="147">
        <f t="shared" si="33"/>
        <v>728.48333333333176</v>
      </c>
      <c r="V127" s="147"/>
      <c r="W127" s="148">
        <f t="shared" si="55"/>
        <v>12395.15</v>
      </c>
      <c r="X127" s="48"/>
      <c r="Y127" s="197">
        <f t="shared" si="51"/>
        <v>0.61975749999999996</v>
      </c>
      <c r="Z127" s="48"/>
      <c r="AA127" s="178">
        <f t="shared" si="53"/>
        <v>11666.666666666668</v>
      </c>
      <c r="AB127" s="147"/>
      <c r="AC127" s="147">
        <v>20000</v>
      </c>
      <c r="AD127" s="183"/>
      <c r="AE127" s="183">
        <f t="shared" si="38"/>
        <v>7604.85</v>
      </c>
    </row>
    <row r="128" spans="1:31" ht="16" x14ac:dyDescent="0.2">
      <c r="A128" s="32"/>
      <c r="B128" s="32"/>
      <c r="C128" s="32"/>
      <c r="D128" s="32" t="s">
        <v>212</v>
      </c>
      <c r="E128" s="32"/>
      <c r="F128" s="32"/>
      <c r="G128" s="129"/>
      <c r="H128" s="146"/>
      <c r="I128" s="147"/>
      <c r="J128" s="147"/>
      <c r="K128" s="147"/>
      <c r="L128" s="147"/>
      <c r="M128" s="147"/>
      <c r="N128" s="147"/>
      <c r="O128" s="147"/>
      <c r="P128" s="147"/>
      <c r="Q128" s="147"/>
      <c r="R128" s="147"/>
      <c r="S128" s="257"/>
      <c r="T128" s="229">
        <f t="shared" si="54"/>
        <v>0</v>
      </c>
      <c r="U128" s="147">
        <f t="shared" si="33"/>
        <v>0</v>
      </c>
      <c r="V128" s="147"/>
      <c r="W128" s="148">
        <f t="shared" si="55"/>
        <v>0</v>
      </c>
      <c r="X128" s="48"/>
      <c r="Y128" s="197" t="e">
        <f t="shared" si="51"/>
        <v>#DIV/0!</v>
      </c>
      <c r="Z128" s="48"/>
      <c r="AA128" s="178">
        <f t="shared" si="53"/>
        <v>0</v>
      </c>
      <c r="AB128" s="147"/>
      <c r="AC128" s="147">
        <v>0</v>
      </c>
      <c r="AD128" s="183"/>
      <c r="AE128" s="183">
        <f t="shared" si="38"/>
        <v>0</v>
      </c>
    </row>
    <row r="129" spans="1:31" ht="16" x14ac:dyDescent="0.2">
      <c r="A129" s="32"/>
      <c r="B129" s="32"/>
      <c r="C129" s="32"/>
      <c r="D129" s="32" t="s">
        <v>115</v>
      </c>
      <c r="E129" s="32"/>
      <c r="F129" s="32"/>
      <c r="G129" s="129"/>
      <c r="H129" s="146">
        <v>49.84</v>
      </c>
      <c r="I129" s="147">
        <v>49.84</v>
      </c>
      <c r="J129" s="147">
        <v>49.84</v>
      </c>
      <c r="K129" s="147">
        <v>49.84</v>
      </c>
      <c r="L129" s="147">
        <v>49.84</v>
      </c>
      <c r="M129" s="147">
        <v>49.84</v>
      </c>
      <c r="N129" s="147">
        <v>49.84</v>
      </c>
      <c r="O129" s="147"/>
      <c r="P129" s="147"/>
      <c r="Q129" s="147"/>
      <c r="R129" s="147"/>
      <c r="S129" s="257"/>
      <c r="T129" s="229">
        <f t="shared" si="54"/>
        <v>50</v>
      </c>
      <c r="U129" s="147">
        <f t="shared" si="33"/>
        <v>-1.1200000000000045</v>
      </c>
      <c r="V129" s="147"/>
      <c r="W129" s="148">
        <f t="shared" si="55"/>
        <v>348.88</v>
      </c>
      <c r="X129" s="48"/>
      <c r="Y129" s="197">
        <f t="shared" si="51"/>
        <v>0.58146666666666669</v>
      </c>
      <c r="Z129" s="48"/>
      <c r="AA129" s="178">
        <f t="shared" si="53"/>
        <v>350</v>
      </c>
      <c r="AB129" s="147"/>
      <c r="AC129" s="147">
        <v>600</v>
      </c>
      <c r="AD129" s="183"/>
      <c r="AE129" s="183">
        <f t="shared" si="38"/>
        <v>251.12</v>
      </c>
    </row>
    <row r="130" spans="1:31" ht="16" x14ac:dyDescent="0.2">
      <c r="A130" s="32"/>
      <c r="B130" s="32"/>
      <c r="C130" s="32"/>
      <c r="D130" s="32" t="s">
        <v>116</v>
      </c>
      <c r="E130" s="32"/>
      <c r="F130" s="32"/>
      <c r="G130" s="129"/>
      <c r="H130" s="146"/>
      <c r="I130" s="147"/>
      <c r="J130" s="147"/>
      <c r="K130" s="147"/>
      <c r="L130" s="147"/>
      <c r="M130" s="147"/>
      <c r="N130" s="147"/>
      <c r="O130" s="147"/>
      <c r="P130" s="147"/>
      <c r="Q130" s="147"/>
      <c r="R130" s="147"/>
      <c r="S130" s="257"/>
      <c r="T130" s="229">
        <f t="shared" si="54"/>
        <v>416.66666666666669</v>
      </c>
      <c r="U130" s="147">
        <f t="shared" si="33"/>
        <v>-2916.666666666667</v>
      </c>
      <c r="V130" s="147"/>
      <c r="W130" s="148">
        <f t="shared" si="55"/>
        <v>0</v>
      </c>
      <c r="X130" s="48"/>
      <c r="Y130" s="197">
        <f t="shared" si="51"/>
        <v>0</v>
      </c>
      <c r="Z130" s="48"/>
      <c r="AA130" s="178">
        <f t="shared" si="53"/>
        <v>2916.666666666667</v>
      </c>
      <c r="AB130" s="147"/>
      <c r="AC130" s="147">
        <v>5000</v>
      </c>
      <c r="AD130" s="183"/>
      <c r="AE130" s="183">
        <f t="shared" si="38"/>
        <v>5000</v>
      </c>
    </row>
    <row r="131" spans="1:31" ht="16" x14ac:dyDescent="0.2">
      <c r="A131" s="32"/>
      <c r="B131" s="32"/>
      <c r="C131" s="32"/>
      <c r="D131" s="32" t="s">
        <v>117</v>
      </c>
      <c r="E131" s="32"/>
      <c r="F131" s="32"/>
      <c r="G131" s="129"/>
      <c r="H131" s="146">
        <v>1010.69</v>
      </c>
      <c r="I131" s="147">
        <v>1334.64</v>
      </c>
      <c r="J131" s="147">
        <v>681.45</v>
      </c>
      <c r="K131" s="147">
        <v>630.04999999999995</v>
      </c>
      <c r="L131" s="147">
        <v>261.62</v>
      </c>
      <c r="M131" s="147">
        <v>230.71</v>
      </c>
      <c r="N131" s="147">
        <v>-281.39999999999998</v>
      </c>
      <c r="O131" s="147"/>
      <c r="P131" s="147"/>
      <c r="Q131" s="147"/>
      <c r="R131" s="147"/>
      <c r="S131" s="257"/>
      <c r="T131" s="229">
        <f t="shared" si="54"/>
        <v>2166.6666666666665</v>
      </c>
      <c r="U131" s="147">
        <f t="shared" si="33"/>
        <v>-11298.906666666666</v>
      </c>
      <c r="V131" s="147"/>
      <c r="W131" s="148">
        <f t="shared" si="55"/>
        <v>3867.7599999999998</v>
      </c>
      <c r="X131" s="48"/>
      <c r="Y131" s="197">
        <f t="shared" si="51"/>
        <v>0.14876</v>
      </c>
      <c r="Z131" s="48"/>
      <c r="AA131" s="178">
        <f t="shared" si="53"/>
        <v>15166.666666666666</v>
      </c>
      <c r="AB131" s="147"/>
      <c r="AC131" s="147">
        <v>26000</v>
      </c>
      <c r="AD131" s="183"/>
      <c r="AE131" s="183">
        <f t="shared" si="38"/>
        <v>22132.240000000002</v>
      </c>
    </row>
    <row r="132" spans="1:31" ht="16" x14ac:dyDescent="0.2">
      <c r="A132" s="32"/>
      <c r="B132" s="32"/>
      <c r="C132" s="32"/>
      <c r="D132" s="32" t="s">
        <v>184</v>
      </c>
      <c r="E132" s="32"/>
      <c r="F132" s="32"/>
      <c r="G132" s="129"/>
      <c r="H132" s="146"/>
      <c r="I132" s="147">
        <v>112.17</v>
      </c>
      <c r="J132" s="147"/>
      <c r="K132" s="147"/>
      <c r="L132" s="147"/>
      <c r="M132" s="147"/>
      <c r="N132" s="147"/>
      <c r="O132" s="147"/>
      <c r="P132" s="147"/>
      <c r="Q132" s="147"/>
      <c r="R132" s="147"/>
      <c r="S132" s="257"/>
      <c r="T132" s="229">
        <f t="shared" si="54"/>
        <v>41.666666666666664</v>
      </c>
      <c r="U132" s="147">
        <f t="shared" si="33"/>
        <v>-179.49666666666661</v>
      </c>
      <c r="V132" s="147"/>
      <c r="W132" s="148">
        <f t="shared" si="55"/>
        <v>112.17</v>
      </c>
      <c r="X132" s="48"/>
      <c r="Y132" s="197">
        <f t="shared" si="51"/>
        <v>0.22434000000000001</v>
      </c>
      <c r="Z132" s="48"/>
      <c r="AA132" s="178">
        <f t="shared" si="53"/>
        <v>291.66666666666663</v>
      </c>
      <c r="AB132" s="147"/>
      <c r="AC132" s="147">
        <v>500</v>
      </c>
      <c r="AD132" s="183"/>
      <c r="AE132" s="183">
        <f t="shared" si="38"/>
        <v>387.83</v>
      </c>
    </row>
    <row r="133" spans="1:31" ht="16" x14ac:dyDescent="0.2">
      <c r="A133" s="32"/>
      <c r="B133" s="32"/>
      <c r="C133" s="32"/>
      <c r="D133" s="93" t="s">
        <v>200</v>
      </c>
      <c r="E133" s="93"/>
      <c r="F133" s="93"/>
      <c r="G133" s="130"/>
      <c r="H133" s="149"/>
      <c r="I133" s="150"/>
      <c r="J133" s="150"/>
      <c r="K133" s="150"/>
      <c r="L133" s="150"/>
      <c r="M133" s="150"/>
      <c r="N133" s="150"/>
      <c r="O133" s="150"/>
      <c r="P133" s="150"/>
      <c r="Q133" s="150"/>
      <c r="R133" s="150"/>
      <c r="S133" s="258"/>
      <c r="T133" s="230"/>
      <c r="U133" s="150"/>
      <c r="V133" s="150"/>
      <c r="W133" s="150"/>
      <c r="X133" s="94"/>
      <c r="Y133" s="205"/>
      <c r="Z133" s="94"/>
      <c r="AA133" s="150"/>
      <c r="AB133" s="150"/>
      <c r="AC133" s="150"/>
      <c r="AD133" s="184"/>
      <c r="AE133" s="184"/>
    </row>
    <row r="134" spans="1:31" ht="16" x14ac:dyDescent="0.2">
      <c r="A134" s="32"/>
      <c r="B134" s="32"/>
      <c r="C134" s="32"/>
      <c r="D134" s="18"/>
      <c r="E134" s="32" t="s">
        <v>172</v>
      </c>
      <c r="F134" s="32"/>
      <c r="G134" s="129"/>
      <c r="H134" s="146">
        <v>349.84</v>
      </c>
      <c r="I134" s="147">
        <v>619.53</v>
      </c>
      <c r="J134" s="147">
        <v>133.38999999999999</v>
      </c>
      <c r="K134" s="147">
        <v>374.98</v>
      </c>
      <c r="L134" s="147">
        <v>374.98</v>
      </c>
      <c r="M134" s="147">
        <v>374.98</v>
      </c>
      <c r="N134" s="147">
        <v>243.38</v>
      </c>
      <c r="O134" s="147"/>
      <c r="P134" s="147"/>
      <c r="Q134" s="147"/>
      <c r="R134" s="147"/>
      <c r="S134" s="257"/>
      <c r="T134" s="229">
        <f>AC134/12</f>
        <v>416.66666666666669</v>
      </c>
      <c r="U134" s="147">
        <f t="shared" si="33"/>
        <v>-445.58666666666704</v>
      </c>
      <c r="V134" s="147"/>
      <c r="W134" s="148">
        <f>SUM(H134:S134)</f>
        <v>2471.08</v>
      </c>
      <c r="X134" s="48"/>
      <c r="Y134" s="197">
        <f t="shared" si="51"/>
        <v>0.49421599999999999</v>
      </c>
      <c r="Z134" s="48"/>
      <c r="AA134" s="178">
        <f t="shared" si="53"/>
        <v>2916.666666666667</v>
      </c>
      <c r="AB134" s="147"/>
      <c r="AC134" s="147">
        <v>5000</v>
      </c>
      <c r="AD134" s="183"/>
      <c r="AE134" s="183">
        <f t="shared" si="38"/>
        <v>2528.92</v>
      </c>
    </row>
    <row r="135" spans="1:31" ht="16" x14ac:dyDescent="0.2">
      <c r="A135" s="32"/>
      <c r="B135" s="32"/>
      <c r="C135" s="32"/>
      <c r="D135" s="18"/>
      <c r="E135" s="32" t="s">
        <v>173</v>
      </c>
      <c r="F135" s="32"/>
      <c r="G135" s="129"/>
      <c r="H135" s="146">
        <v>449.9</v>
      </c>
      <c r="I135" s="147">
        <v>885.15</v>
      </c>
      <c r="J135" s="147"/>
      <c r="K135" s="147">
        <v>466.96</v>
      </c>
      <c r="L135" s="147">
        <v>431.93</v>
      </c>
      <c r="M135" s="147">
        <v>312.87</v>
      </c>
      <c r="N135" s="147">
        <v>279.74</v>
      </c>
      <c r="O135" s="147"/>
      <c r="P135" s="147"/>
      <c r="Q135" s="147"/>
      <c r="R135" s="147"/>
      <c r="S135" s="257"/>
      <c r="T135" s="229">
        <f>AC135/12</f>
        <v>375</v>
      </c>
      <c r="U135" s="147">
        <f t="shared" si="33"/>
        <v>201.55000000000018</v>
      </c>
      <c r="V135" s="147"/>
      <c r="W135" s="148">
        <f>SUM(H135:S135)</f>
        <v>2826.55</v>
      </c>
      <c r="X135" s="48"/>
      <c r="Y135" s="197">
        <f t="shared" si="51"/>
        <v>0.62812222222222225</v>
      </c>
      <c r="Z135" s="48"/>
      <c r="AA135" s="178">
        <f t="shared" si="53"/>
        <v>2625</v>
      </c>
      <c r="AB135" s="147"/>
      <c r="AC135" s="147">
        <v>4500</v>
      </c>
      <c r="AD135" s="183"/>
      <c r="AE135" s="183">
        <f t="shared" si="38"/>
        <v>1673.4499999999998</v>
      </c>
    </row>
    <row r="136" spans="1:31" ht="17" thickBot="1" x14ac:dyDescent="0.25">
      <c r="A136" s="32"/>
      <c r="B136" s="32"/>
      <c r="C136" s="32"/>
      <c r="D136" s="112" t="s">
        <v>201</v>
      </c>
      <c r="E136" s="113"/>
      <c r="F136" s="113"/>
      <c r="G136" s="139"/>
      <c r="H136" s="168">
        <f t="shared" ref="H136:T136" si="56">SUM(H134:H135)</f>
        <v>799.74</v>
      </c>
      <c r="I136" s="169">
        <f t="shared" si="56"/>
        <v>1504.6799999999998</v>
      </c>
      <c r="J136" s="169">
        <f t="shared" si="56"/>
        <v>133.38999999999999</v>
      </c>
      <c r="K136" s="169">
        <f t="shared" si="56"/>
        <v>841.94</v>
      </c>
      <c r="L136" s="169">
        <f t="shared" si="56"/>
        <v>806.91000000000008</v>
      </c>
      <c r="M136" s="169">
        <f t="shared" si="56"/>
        <v>687.85</v>
      </c>
      <c r="N136" s="169">
        <f t="shared" si="56"/>
        <v>523.12</v>
      </c>
      <c r="O136" s="169">
        <f t="shared" si="56"/>
        <v>0</v>
      </c>
      <c r="P136" s="169">
        <f t="shared" si="56"/>
        <v>0</v>
      </c>
      <c r="Q136" s="169">
        <f t="shared" si="56"/>
        <v>0</v>
      </c>
      <c r="R136" s="169">
        <f t="shared" si="56"/>
        <v>0</v>
      </c>
      <c r="S136" s="269">
        <f t="shared" si="56"/>
        <v>0</v>
      </c>
      <c r="T136" s="269">
        <f t="shared" si="56"/>
        <v>791.66666666666674</v>
      </c>
      <c r="U136" s="169">
        <f>SUM(U134:U135)</f>
        <v>-244.03666666666686</v>
      </c>
      <c r="V136" s="169">
        <f>SUM(V134:V135)</f>
        <v>0</v>
      </c>
      <c r="W136" s="169">
        <f>SUM(W134:W135)</f>
        <v>5297.63</v>
      </c>
      <c r="X136" s="114"/>
      <c r="Y136" s="206">
        <f t="shared" si="51"/>
        <v>0.55764526315789475</v>
      </c>
      <c r="Z136" s="114"/>
      <c r="AA136" s="169">
        <f>SUM(AA134:AA135)</f>
        <v>5541.666666666667</v>
      </c>
      <c r="AB136" s="169"/>
      <c r="AC136" s="169">
        <f>SUM(AC134:AC135)</f>
        <v>9500</v>
      </c>
      <c r="AD136" s="188"/>
      <c r="AE136" s="188">
        <f>SUM(AE134:AE135)</f>
        <v>4202.37</v>
      </c>
    </row>
    <row r="137" spans="1:31" ht="17" thickBot="1" x14ac:dyDescent="0.25">
      <c r="A137" s="32"/>
      <c r="B137" s="32"/>
      <c r="C137" s="104" t="s">
        <v>118</v>
      </c>
      <c r="D137" s="104"/>
      <c r="E137" s="104"/>
      <c r="F137" s="104"/>
      <c r="G137" s="132"/>
      <c r="H137" s="157">
        <f>H116+H118+H120+H119+H125+H127+H129+H130+H131+H132+H134+H135+H114+H115+H121+H122+H123+H124+H126+H128+H117</f>
        <v>5858.65</v>
      </c>
      <c r="I137" s="155">
        <f>I114+I115+I116+I117+I118+I119+I120+I121+I122+I123+I124+I125+I126+I127+I128+I129+I130+I131+I132+I134+I135</f>
        <v>9242.2800000000007</v>
      </c>
      <c r="J137" s="155">
        <f>J114+J115+J116+J117+J118+J119+J120+J121+J122+J123+J124+J125+J126+J127+J128+J129+J130+J131+J132+J134+J135</f>
        <v>8292.94</v>
      </c>
      <c r="K137" s="155">
        <f>K114+K115+K116+K117+K118+K119+K120+K121+K122+K123+K124+K125+K126+K127+K128+K129+K130+K131+K132+K134+K135</f>
        <v>5270.1500000000005</v>
      </c>
      <c r="L137" s="155">
        <f>L114+L115+L117+L116+L118+L119+L120+L121+L122+L123+L124+L125+L126+L127+L128+L129+L130+L131+L132+L134+L135</f>
        <v>10923.36</v>
      </c>
      <c r="M137" s="155">
        <f>M114+M115+M116+M117+M118+M119+M120+M121+M122+M123+M124+M125+M126+M127++M128+M129+M130+M131+M132+M134+M135</f>
        <v>4934.63</v>
      </c>
      <c r="N137" s="155">
        <f>N114+N115+N116+N117+N118+N119+N120+N121+N123+N124+N122+N125+N126+N127+N129+N128+N130+N131+N132+N134+N135</f>
        <v>4726.87</v>
      </c>
      <c r="O137" s="155">
        <f>O114+O115+O116+O117+O118+O119+O120+O121+O123+O124+O122+O125+O126+O127+O129+O128+O130+O131+O132+O134+O135</f>
        <v>0</v>
      </c>
      <c r="P137" s="155">
        <f>P114+P115+P116+P117+P118++P119+P120+P121+P122+P123+P125+P126+P127+P124+P128+P129+P130+P131+P132+P134+P135</f>
        <v>0</v>
      </c>
      <c r="Q137" s="155">
        <f>Q114+Q115+Q116+Q117+Q118++Q119+Q120+Q121+Q122+Q123+Q125+Q126+Q127+Q124+Q128+Q129+Q130+Q131+Q132+Q134+Q135</f>
        <v>0</v>
      </c>
      <c r="R137" s="155">
        <f>R114+R115+R116+R117+R118+R119+R120+R121+R122+R123+R124+R125+R126+R127+R128+R129+R130+R131+R132+R134+R135</f>
        <v>0</v>
      </c>
      <c r="S137" s="262">
        <f>S114+S115+S116+S117+S119+S118+S120+S122+S121+S123+S125+S124+S126+S128+S127+S129+S130+S131+S132+S134+S135</f>
        <v>0</v>
      </c>
      <c r="T137" s="233">
        <f>AC137/12</f>
        <v>8827.0833333333339</v>
      </c>
      <c r="U137" s="155">
        <f t="shared" si="33"/>
        <v>-12540.703333333324</v>
      </c>
      <c r="V137" s="155"/>
      <c r="W137" s="156">
        <f>SUM(H137:S137)</f>
        <v>49248.880000000005</v>
      </c>
      <c r="X137" s="53"/>
      <c r="Y137" s="199">
        <f t="shared" si="51"/>
        <v>0.46494104319093704</v>
      </c>
      <c r="Z137" s="53"/>
      <c r="AA137" s="180">
        <f>SUM(AA114:AA135)</f>
        <v>61789.583333333328</v>
      </c>
      <c r="AB137" s="155">
        <f>SUM(AB114:AB135)</f>
        <v>0</v>
      </c>
      <c r="AC137" s="155">
        <f>SUM(AC114:AC135)</f>
        <v>105925</v>
      </c>
      <c r="AD137" s="187"/>
      <c r="AE137" s="155">
        <f>SUM(AE114:AE135)</f>
        <v>56676.12</v>
      </c>
    </row>
    <row r="138" spans="1:31" ht="16" x14ac:dyDescent="0.2">
      <c r="A138" s="32"/>
      <c r="B138" s="32"/>
      <c r="C138" s="32" t="s">
        <v>119</v>
      </c>
      <c r="D138" s="32"/>
      <c r="E138" s="32"/>
      <c r="F138" s="32"/>
      <c r="G138" s="129"/>
      <c r="H138" s="143"/>
      <c r="I138" s="48"/>
      <c r="J138" s="48"/>
      <c r="K138" s="48"/>
      <c r="L138" s="48"/>
      <c r="M138" s="48"/>
      <c r="N138" s="48"/>
      <c r="O138" s="48"/>
      <c r="P138" s="48"/>
      <c r="Q138" s="48"/>
      <c r="R138" s="48"/>
      <c r="S138" s="261"/>
      <c r="T138" s="234" t="s">
        <v>178</v>
      </c>
      <c r="U138" s="48" t="s">
        <v>178</v>
      </c>
      <c r="V138" s="48"/>
      <c r="W138" s="82" t="s">
        <v>178</v>
      </c>
      <c r="X138" s="48"/>
      <c r="Y138" s="48"/>
      <c r="Z138" s="48"/>
      <c r="AA138" s="178"/>
      <c r="AB138" s="147"/>
      <c r="AC138" s="147"/>
      <c r="AD138" s="183"/>
      <c r="AE138" s="183"/>
    </row>
    <row r="139" spans="1:31" ht="16" x14ac:dyDescent="0.2">
      <c r="A139" s="32"/>
      <c r="B139" s="32"/>
      <c r="C139" s="32"/>
      <c r="D139" s="32" t="s">
        <v>120</v>
      </c>
      <c r="E139" s="32"/>
      <c r="F139" s="32"/>
      <c r="G139" s="129"/>
      <c r="H139" s="146">
        <v>2528.59</v>
      </c>
      <c r="I139" s="147">
        <v>2528.59</v>
      </c>
      <c r="J139" s="147">
        <v>2529.59</v>
      </c>
      <c r="K139" s="147">
        <v>2528.59</v>
      </c>
      <c r="L139" s="147">
        <v>2528.59</v>
      </c>
      <c r="M139" s="147">
        <v>2528.59</v>
      </c>
      <c r="N139" s="147">
        <v>2528.59</v>
      </c>
      <c r="O139" s="147"/>
      <c r="P139" s="147"/>
      <c r="Q139" s="147"/>
      <c r="R139" s="147"/>
      <c r="S139" s="257"/>
      <c r="T139" s="229">
        <f t="shared" ref="T139:T146" si="57">AC139/12</f>
        <v>2583.3333333333335</v>
      </c>
      <c r="U139" s="147">
        <f t="shared" si="33"/>
        <v>-382.20333333333474</v>
      </c>
      <c r="V139" s="147"/>
      <c r="W139" s="148">
        <f t="shared" ref="W139:W146" si="58">SUM(H139:S139)</f>
        <v>17701.13</v>
      </c>
      <c r="X139" s="48"/>
      <c r="Y139" s="197">
        <f t="shared" ref="Y139:Y146" si="59">W139/AC139</f>
        <v>0.57100419354838716</v>
      </c>
      <c r="Z139" s="48"/>
      <c r="AA139" s="178">
        <f t="shared" ref="AA139:AA145" si="60">AC139/12*$AI$5</f>
        <v>18083.333333333336</v>
      </c>
      <c r="AB139" s="147"/>
      <c r="AC139" s="147">
        <v>31000</v>
      </c>
      <c r="AD139" s="183"/>
      <c r="AE139" s="183">
        <f t="shared" si="38"/>
        <v>13298.869999999999</v>
      </c>
    </row>
    <row r="140" spans="1:31" ht="16" x14ac:dyDescent="0.2">
      <c r="A140" s="32"/>
      <c r="B140" s="32"/>
      <c r="C140" s="32"/>
      <c r="D140" s="32" t="s">
        <v>121</v>
      </c>
      <c r="E140" s="32"/>
      <c r="F140" s="32"/>
      <c r="G140" s="129"/>
      <c r="H140" s="146">
        <v>462.92</v>
      </c>
      <c r="I140" s="147">
        <v>462.92</v>
      </c>
      <c r="J140" s="147">
        <v>462.92</v>
      </c>
      <c r="K140" s="147">
        <v>462.92</v>
      </c>
      <c r="L140" s="147">
        <v>462.92</v>
      </c>
      <c r="M140" s="147">
        <v>462.92</v>
      </c>
      <c r="N140" s="147">
        <v>462.92</v>
      </c>
      <c r="O140" s="147"/>
      <c r="P140" s="147"/>
      <c r="Q140" s="147"/>
      <c r="R140" s="147"/>
      <c r="S140" s="257"/>
      <c r="T140" s="229">
        <f t="shared" si="57"/>
        <v>458.33333333333331</v>
      </c>
      <c r="U140" s="147">
        <f t="shared" ref="U140:U191" si="61">W140-AA140</f>
        <v>32.106666666667024</v>
      </c>
      <c r="V140" s="147"/>
      <c r="W140" s="148">
        <f t="shared" si="58"/>
        <v>3240.44</v>
      </c>
      <c r="X140" s="48"/>
      <c r="Y140" s="197">
        <f t="shared" si="59"/>
        <v>0.58917090909090908</v>
      </c>
      <c r="Z140" s="48"/>
      <c r="AA140" s="178">
        <f t="shared" si="60"/>
        <v>3208.333333333333</v>
      </c>
      <c r="AB140" s="147"/>
      <c r="AC140" s="147">
        <v>5500</v>
      </c>
      <c r="AD140" s="183"/>
      <c r="AE140" s="183">
        <f t="shared" si="38"/>
        <v>2259.56</v>
      </c>
    </row>
    <row r="141" spans="1:31" ht="16" x14ac:dyDescent="0.2">
      <c r="A141" s="32"/>
      <c r="B141" s="32"/>
      <c r="C141" s="32"/>
      <c r="D141" s="32" t="s">
        <v>122</v>
      </c>
      <c r="E141" s="32"/>
      <c r="F141" s="32"/>
      <c r="G141" s="129"/>
      <c r="H141" s="146">
        <v>151.25</v>
      </c>
      <c r="I141" s="147">
        <v>151.25</v>
      </c>
      <c r="J141" s="147">
        <v>151.25</v>
      </c>
      <c r="K141" s="147">
        <v>151.25</v>
      </c>
      <c r="L141" s="147">
        <v>151.25</v>
      </c>
      <c r="M141" s="147">
        <v>151.25</v>
      </c>
      <c r="N141" s="147">
        <v>151.25</v>
      </c>
      <c r="O141" s="147"/>
      <c r="P141" s="147"/>
      <c r="Q141" s="147"/>
      <c r="R141" s="147"/>
      <c r="S141" s="257"/>
      <c r="T141" s="229">
        <f t="shared" si="57"/>
        <v>158.33333333333334</v>
      </c>
      <c r="U141" s="147">
        <f t="shared" si="61"/>
        <v>-49.583333333333485</v>
      </c>
      <c r="V141" s="147"/>
      <c r="W141" s="148">
        <f t="shared" si="58"/>
        <v>1058.75</v>
      </c>
      <c r="X141" s="48"/>
      <c r="Y141" s="197">
        <f>W141/AC141</f>
        <v>0.55723684210526314</v>
      </c>
      <c r="Z141" s="48"/>
      <c r="AA141" s="178">
        <f t="shared" si="60"/>
        <v>1108.3333333333335</v>
      </c>
      <c r="AB141" s="147"/>
      <c r="AC141" s="147">
        <v>1900</v>
      </c>
      <c r="AD141" s="183"/>
      <c r="AE141" s="183">
        <f t="shared" si="38"/>
        <v>841.25</v>
      </c>
    </row>
    <row r="142" spans="1:31" ht="16" x14ac:dyDescent="0.2">
      <c r="A142" s="32"/>
      <c r="B142" s="32"/>
      <c r="C142" s="32"/>
      <c r="D142" s="32" t="s">
        <v>123</v>
      </c>
      <c r="E142" s="32"/>
      <c r="F142" s="32"/>
      <c r="G142" s="129"/>
      <c r="H142" s="146"/>
      <c r="I142" s="147"/>
      <c r="J142" s="147">
        <v>177.72</v>
      </c>
      <c r="K142" s="147"/>
      <c r="L142" s="147"/>
      <c r="M142" s="147">
        <v>491.68</v>
      </c>
      <c r="N142" s="147"/>
      <c r="O142" s="147"/>
      <c r="P142" s="147"/>
      <c r="Q142" s="147"/>
      <c r="R142" s="147"/>
      <c r="S142" s="257"/>
      <c r="T142" s="229">
        <f t="shared" si="57"/>
        <v>166.66666666666666</v>
      </c>
      <c r="U142" s="147">
        <f t="shared" si="61"/>
        <v>-497.26666666666654</v>
      </c>
      <c r="V142" s="147"/>
      <c r="W142" s="148">
        <f t="shared" si="58"/>
        <v>669.4</v>
      </c>
      <c r="X142" s="48"/>
      <c r="Y142" s="197">
        <f t="shared" si="59"/>
        <v>0.3347</v>
      </c>
      <c r="Z142" s="48"/>
      <c r="AA142" s="178">
        <f t="shared" si="60"/>
        <v>1166.6666666666665</v>
      </c>
      <c r="AB142" s="147"/>
      <c r="AC142" s="147">
        <v>2000</v>
      </c>
      <c r="AD142" s="183"/>
      <c r="AE142" s="183">
        <f t="shared" si="38"/>
        <v>1330.6</v>
      </c>
    </row>
    <row r="143" spans="1:31" ht="16" x14ac:dyDescent="0.2">
      <c r="A143" s="32"/>
      <c r="B143" s="32"/>
      <c r="C143" s="32"/>
      <c r="D143" s="32" t="s">
        <v>124</v>
      </c>
      <c r="E143" s="32"/>
      <c r="F143" s="32"/>
      <c r="G143" s="129"/>
      <c r="H143" s="146"/>
      <c r="I143" s="147">
        <v>17.71</v>
      </c>
      <c r="J143" s="147">
        <v>177.72</v>
      </c>
      <c r="K143" s="147"/>
      <c r="L143" s="147"/>
      <c r="M143" s="147"/>
      <c r="N143" s="147"/>
      <c r="O143" s="147"/>
      <c r="P143" s="147"/>
      <c r="Q143" s="147"/>
      <c r="R143" s="147"/>
      <c r="S143" s="257"/>
      <c r="T143" s="229">
        <f t="shared" si="57"/>
        <v>166.66666666666666</v>
      </c>
      <c r="U143" s="147">
        <f t="shared" si="61"/>
        <v>-971.23666666666645</v>
      </c>
      <c r="V143" s="147"/>
      <c r="W143" s="148">
        <f t="shared" si="58"/>
        <v>195.43</v>
      </c>
      <c r="X143" s="48"/>
      <c r="Y143" s="197">
        <f t="shared" si="59"/>
        <v>9.771500000000001E-2</v>
      </c>
      <c r="Z143" s="48"/>
      <c r="AA143" s="178">
        <f t="shared" si="60"/>
        <v>1166.6666666666665</v>
      </c>
      <c r="AB143" s="147"/>
      <c r="AC143" s="147">
        <v>2000</v>
      </c>
      <c r="AD143" s="183"/>
      <c r="AE143" s="183">
        <f t="shared" si="38"/>
        <v>1804.57</v>
      </c>
    </row>
    <row r="144" spans="1:31" ht="16" x14ac:dyDescent="0.2">
      <c r="A144" s="32"/>
      <c r="B144" s="32"/>
      <c r="C144" s="32"/>
      <c r="D144" s="32" t="s">
        <v>202</v>
      </c>
      <c r="E144" s="32"/>
      <c r="F144" s="32"/>
      <c r="G144" s="129"/>
      <c r="H144" s="146"/>
      <c r="I144" s="147"/>
      <c r="J144" s="147"/>
      <c r="K144" s="147"/>
      <c r="L144" s="147"/>
      <c r="M144" s="147"/>
      <c r="N144" s="147"/>
      <c r="O144" s="147"/>
      <c r="P144" s="147"/>
      <c r="Q144" s="147"/>
      <c r="R144" s="147"/>
      <c r="S144" s="257"/>
      <c r="T144" s="229">
        <f t="shared" si="57"/>
        <v>14355</v>
      </c>
      <c r="U144" s="147">
        <f t="shared" si="61"/>
        <v>-100485</v>
      </c>
      <c r="V144" s="147"/>
      <c r="W144" s="148">
        <f t="shared" si="58"/>
        <v>0</v>
      </c>
      <c r="X144" s="48"/>
      <c r="Y144" s="197">
        <f>W144/AC144</f>
        <v>0</v>
      </c>
      <c r="Z144" s="48"/>
      <c r="AA144" s="178">
        <f t="shared" si="60"/>
        <v>100485</v>
      </c>
      <c r="AB144" s="147"/>
      <c r="AC144" s="147">
        <v>172260</v>
      </c>
      <c r="AD144" s="183"/>
      <c r="AE144" s="183">
        <f t="shared" ref="AE144:AE191" si="62">AC144-W144</f>
        <v>172260</v>
      </c>
    </row>
    <row r="145" spans="1:31" ht="17" thickBot="1" x14ac:dyDescent="0.25">
      <c r="A145" s="32"/>
      <c r="B145" s="32"/>
      <c r="C145" s="32"/>
      <c r="D145" s="32" t="s">
        <v>240</v>
      </c>
      <c r="E145" s="32"/>
      <c r="F145" s="32"/>
      <c r="G145" s="129"/>
      <c r="H145" s="146">
        <v>74586.52</v>
      </c>
      <c r="I145" s="147">
        <v>74586.52</v>
      </c>
      <c r="J145" s="147">
        <v>74586.52</v>
      </c>
      <c r="K145" s="147">
        <v>74586.52</v>
      </c>
      <c r="L145" s="147">
        <v>74586.52</v>
      </c>
      <c r="M145" s="147">
        <v>74586.52</v>
      </c>
      <c r="N145" s="147">
        <v>74586.52</v>
      </c>
      <c r="O145" s="147"/>
      <c r="P145" s="147"/>
      <c r="Q145" s="147"/>
      <c r="R145" s="147"/>
      <c r="S145" s="257"/>
      <c r="T145" s="229">
        <f t="shared" si="57"/>
        <v>74586.52</v>
      </c>
      <c r="U145" s="147">
        <f t="shared" si="61"/>
        <v>0</v>
      </c>
      <c r="V145" s="147"/>
      <c r="W145" s="148">
        <f t="shared" ref="W145" si="63">SUM(H145:S145)</f>
        <v>522105.64000000007</v>
      </c>
      <c r="X145" s="48"/>
      <c r="Y145" s="197">
        <f>W145/AC145</f>
        <v>0.58333333333333337</v>
      </c>
      <c r="Z145" s="48"/>
      <c r="AA145" s="178">
        <f t="shared" si="60"/>
        <v>522105.64</v>
      </c>
      <c r="AB145" s="147"/>
      <c r="AC145" s="147">
        <f>74586.52*12</f>
        <v>895038.24</v>
      </c>
      <c r="AD145" s="183"/>
      <c r="AE145" s="183">
        <f t="shared" si="62"/>
        <v>372932.59999999992</v>
      </c>
    </row>
    <row r="146" spans="1:31" ht="17" thickBot="1" x14ac:dyDescent="0.25">
      <c r="A146" s="32"/>
      <c r="B146" s="32"/>
      <c r="C146" s="104" t="s">
        <v>125</v>
      </c>
      <c r="D146" s="104"/>
      <c r="E146" s="104"/>
      <c r="F146" s="104"/>
      <c r="G146" s="132"/>
      <c r="H146" s="157">
        <f t="shared" ref="H146:N146" si="64">SUM(H139:H145)</f>
        <v>77729.279999999999</v>
      </c>
      <c r="I146" s="157">
        <f t="shared" si="64"/>
        <v>77746.990000000005</v>
      </c>
      <c r="J146" s="155">
        <f t="shared" si="64"/>
        <v>78085.72</v>
      </c>
      <c r="K146" s="157">
        <f t="shared" si="64"/>
        <v>77729.279999999999</v>
      </c>
      <c r="L146" s="157">
        <f t="shared" si="64"/>
        <v>77729.279999999999</v>
      </c>
      <c r="M146" s="155">
        <f t="shared" si="64"/>
        <v>78220.960000000006</v>
      </c>
      <c r="N146" s="155">
        <f t="shared" si="64"/>
        <v>77729.279999999999</v>
      </c>
      <c r="O146" s="155">
        <f t="shared" ref="O146:S146" si="65">SUM(O139:O144)</f>
        <v>0</v>
      </c>
      <c r="P146" s="155">
        <f t="shared" si="65"/>
        <v>0</v>
      </c>
      <c r="Q146" s="155">
        <f t="shared" si="65"/>
        <v>0</v>
      </c>
      <c r="R146" s="155">
        <f t="shared" si="65"/>
        <v>0</v>
      </c>
      <c r="S146" s="262">
        <f t="shared" si="65"/>
        <v>0</v>
      </c>
      <c r="T146" s="233">
        <f t="shared" si="57"/>
        <v>17888.333333333332</v>
      </c>
      <c r="U146" s="155">
        <f t="shared" si="61"/>
        <v>419752.45666666667</v>
      </c>
      <c r="V146" s="155"/>
      <c r="W146" s="156">
        <f t="shared" si="58"/>
        <v>544970.79</v>
      </c>
      <c r="X146" s="53"/>
      <c r="Y146" s="199">
        <f t="shared" si="59"/>
        <v>2.5387626479083205</v>
      </c>
      <c r="Z146" s="53"/>
      <c r="AA146" s="180">
        <f>SUM(AA139:AA144)</f>
        <v>125218.33333333334</v>
      </c>
      <c r="AB146" s="155">
        <f>SUM(AB139:AB144)</f>
        <v>0</v>
      </c>
      <c r="AC146" s="155">
        <f>SUM(AC139:AC144)</f>
        <v>214660</v>
      </c>
      <c r="AD146" s="187"/>
      <c r="AE146" s="155">
        <f>SUM(AE139:AE144)</f>
        <v>191794.85</v>
      </c>
    </row>
    <row r="147" spans="1:31" ht="16" x14ac:dyDescent="0.2">
      <c r="A147" s="32"/>
      <c r="B147" s="32"/>
      <c r="C147" s="32" t="s">
        <v>126</v>
      </c>
      <c r="D147" s="32"/>
      <c r="E147" s="32"/>
      <c r="F147" s="32"/>
      <c r="G147" s="129"/>
      <c r="H147" s="143"/>
      <c r="I147" s="48"/>
      <c r="J147" s="48"/>
      <c r="K147" s="48"/>
      <c r="L147" s="48"/>
      <c r="M147" s="48"/>
      <c r="N147" s="48"/>
      <c r="O147" s="48"/>
      <c r="P147" s="48"/>
      <c r="Q147" s="48"/>
      <c r="R147" s="48"/>
      <c r="S147" s="261"/>
      <c r="T147" s="234" t="s">
        <v>178</v>
      </c>
      <c r="U147" s="48" t="s">
        <v>178</v>
      </c>
      <c r="V147" s="48"/>
      <c r="W147" s="48" t="s">
        <v>178</v>
      </c>
      <c r="X147" s="48"/>
      <c r="Y147" s="48"/>
      <c r="Z147" s="48"/>
      <c r="AA147" s="147"/>
      <c r="AB147" s="147"/>
      <c r="AC147" s="147"/>
      <c r="AD147" s="183"/>
      <c r="AE147" s="183"/>
    </row>
    <row r="148" spans="1:31" ht="16" x14ac:dyDescent="0.2">
      <c r="A148" s="32"/>
      <c r="B148" s="32"/>
      <c r="C148" s="32"/>
      <c r="D148" s="32" t="s">
        <v>127</v>
      </c>
      <c r="E148" s="32"/>
      <c r="F148" s="32"/>
      <c r="G148" s="129"/>
      <c r="H148" s="146"/>
      <c r="I148" s="147">
        <v>5000</v>
      </c>
      <c r="J148" s="147"/>
      <c r="K148" s="147"/>
      <c r="L148" s="147"/>
      <c r="M148" s="147">
        <v>33416.97</v>
      </c>
      <c r="N148" s="147">
        <v>7521.99</v>
      </c>
      <c r="O148" s="147"/>
      <c r="P148" s="147"/>
      <c r="Q148" s="147"/>
      <c r="R148" s="147"/>
      <c r="S148" s="257"/>
      <c r="T148" s="229">
        <f>AC148/12</f>
        <v>2083.3333333333335</v>
      </c>
      <c r="U148" s="147">
        <f t="shared" si="61"/>
        <v>31355.626666666663</v>
      </c>
      <c r="V148" s="147"/>
      <c r="W148" s="148">
        <f>SUM(H148:S148)</f>
        <v>45938.96</v>
      </c>
      <c r="X148" s="48"/>
      <c r="Y148" s="197">
        <f t="shared" ref="Y148:Y155" si="66">W148/AC148</f>
        <v>1.8375584</v>
      </c>
      <c r="Z148" s="48"/>
      <c r="AA148" s="178">
        <f t="shared" ref="AA148:AA154" si="67">AC148/12*$AI$5</f>
        <v>14583.333333333334</v>
      </c>
      <c r="AB148" s="147"/>
      <c r="AC148" s="147">
        <v>25000</v>
      </c>
      <c r="AD148" s="183"/>
      <c r="AE148" s="183">
        <f t="shared" si="62"/>
        <v>-20938.96</v>
      </c>
    </row>
    <row r="149" spans="1:31" ht="16" x14ac:dyDescent="0.2">
      <c r="A149" s="32"/>
      <c r="B149" s="32"/>
      <c r="C149" s="32"/>
      <c r="D149" s="32" t="s">
        <v>128</v>
      </c>
      <c r="E149" s="32"/>
      <c r="F149" s="32"/>
      <c r="G149" s="129"/>
      <c r="H149" s="183">
        <v>1250</v>
      </c>
      <c r="I149" s="147">
        <v>1025</v>
      </c>
      <c r="J149" s="147">
        <v>1025</v>
      </c>
      <c r="K149" s="147">
        <v>700</v>
      </c>
      <c r="L149" s="147">
        <v>900</v>
      </c>
      <c r="M149" s="147">
        <v>600</v>
      </c>
      <c r="N149" s="147">
        <v>450</v>
      </c>
      <c r="O149" s="183"/>
      <c r="P149" s="219"/>
      <c r="Q149" s="147"/>
      <c r="R149" s="147"/>
      <c r="S149" s="257"/>
      <c r="T149" s="229">
        <f t="shared" ref="T149:T155" si="68">AC149/12</f>
        <v>583.33333333333337</v>
      </c>
      <c r="U149" s="147">
        <f t="shared" si="61"/>
        <v>1866.6666666666665</v>
      </c>
      <c r="V149" s="147"/>
      <c r="W149" s="148">
        <f t="shared" ref="W149:W154" si="69">SUM(H149:S149)</f>
        <v>5950</v>
      </c>
      <c r="X149" s="48"/>
      <c r="Y149" s="197">
        <f t="shared" si="66"/>
        <v>0.85</v>
      </c>
      <c r="Z149" s="48"/>
      <c r="AA149" s="178">
        <f t="shared" si="67"/>
        <v>4083.3333333333335</v>
      </c>
      <c r="AB149" s="147"/>
      <c r="AC149" s="147">
        <v>7000</v>
      </c>
      <c r="AD149" s="183"/>
      <c r="AE149" s="183">
        <f t="shared" si="62"/>
        <v>1050</v>
      </c>
    </row>
    <row r="150" spans="1:31" ht="16" x14ac:dyDescent="0.2">
      <c r="A150" s="32"/>
      <c r="B150" s="32"/>
      <c r="C150" s="32"/>
      <c r="D150" s="32" t="s">
        <v>129</v>
      </c>
      <c r="E150" s="32"/>
      <c r="F150" s="32"/>
      <c r="G150" s="129"/>
      <c r="H150" s="146"/>
      <c r="I150" s="147">
        <v>14422.62</v>
      </c>
      <c r="J150" s="147">
        <v>17773.34</v>
      </c>
      <c r="K150" s="147">
        <v>106677.21</v>
      </c>
      <c r="L150" s="147">
        <v>35</v>
      </c>
      <c r="M150" s="147">
        <v>8943.98</v>
      </c>
      <c r="N150" s="147">
        <v>11922.17</v>
      </c>
      <c r="O150" s="147"/>
      <c r="P150" s="147"/>
      <c r="Q150" s="147"/>
      <c r="R150" s="147"/>
      <c r="S150" s="257"/>
      <c r="T150" s="229">
        <f t="shared" si="68"/>
        <v>6250</v>
      </c>
      <c r="U150" s="147">
        <f t="shared" si="61"/>
        <v>116024.32000000004</v>
      </c>
      <c r="V150" s="147"/>
      <c r="W150" s="148">
        <f t="shared" si="69"/>
        <v>159774.32000000004</v>
      </c>
      <c r="X150" s="48"/>
      <c r="Y150" s="197">
        <f t="shared" si="66"/>
        <v>2.1303242666666673</v>
      </c>
      <c r="Z150" s="48"/>
      <c r="AA150" s="178">
        <f t="shared" si="67"/>
        <v>43750</v>
      </c>
      <c r="AB150" s="147"/>
      <c r="AC150" s="147">
        <v>75000</v>
      </c>
      <c r="AD150" s="183"/>
      <c r="AE150" s="183">
        <f t="shared" si="62"/>
        <v>-84774.320000000036</v>
      </c>
    </row>
    <row r="151" spans="1:31" ht="16" x14ac:dyDescent="0.2">
      <c r="A151" s="32"/>
      <c r="B151" s="32"/>
      <c r="C151" s="32"/>
      <c r="D151" s="32" t="s">
        <v>130</v>
      </c>
      <c r="E151" s="32"/>
      <c r="F151" s="32"/>
      <c r="G151" s="129"/>
      <c r="H151" s="146"/>
      <c r="I151" s="147"/>
      <c r="J151" s="147"/>
      <c r="K151" s="147"/>
      <c r="L151" s="147"/>
      <c r="M151" s="147"/>
      <c r="N151" s="147"/>
      <c r="O151" s="147"/>
      <c r="P151" s="147"/>
      <c r="Q151" s="147"/>
      <c r="R151" s="147"/>
      <c r="S151" s="257"/>
      <c r="T151" s="229">
        <f t="shared" si="68"/>
        <v>83.333333333333329</v>
      </c>
      <c r="U151" s="147">
        <f t="shared" si="61"/>
        <v>-583.33333333333326</v>
      </c>
      <c r="V151" s="147"/>
      <c r="W151" s="148">
        <f t="shared" si="69"/>
        <v>0</v>
      </c>
      <c r="X151" s="48"/>
      <c r="Y151" s="197">
        <f t="shared" si="66"/>
        <v>0</v>
      </c>
      <c r="Z151" s="48"/>
      <c r="AA151" s="178">
        <f t="shared" si="67"/>
        <v>583.33333333333326</v>
      </c>
      <c r="AB151" s="147"/>
      <c r="AC151" s="147">
        <v>1000</v>
      </c>
      <c r="AD151" s="183"/>
      <c r="AE151" s="183">
        <f t="shared" si="62"/>
        <v>1000</v>
      </c>
    </row>
    <row r="152" spans="1:31" ht="16" x14ac:dyDescent="0.2">
      <c r="A152" s="32"/>
      <c r="B152" s="32"/>
      <c r="C152" s="32"/>
      <c r="D152" s="32" t="s">
        <v>131</v>
      </c>
      <c r="E152" s="32"/>
      <c r="F152" s="32"/>
      <c r="G152" s="129"/>
      <c r="H152" s="146">
        <v>500</v>
      </c>
      <c r="I152" s="147"/>
      <c r="J152" s="147"/>
      <c r="K152" s="147"/>
      <c r="L152" s="147"/>
      <c r="M152" s="147"/>
      <c r="N152" s="147"/>
      <c r="O152" s="147"/>
      <c r="P152" s="147"/>
      <c r="Q152" s="147"/>
      <c r="R152" s="147"/>
      <c r="S152" s="257"/>
      <c r="T152" s="229">
        <f t="shared" si="68"/>
        <v>166.66666666666666</v>
      </c>
      <c r="U152" s="147">
        <f t="shared" si="61"/>
        <v>-666.66666666666652</v>
      </c>
      <c r="V152" s="147"/>
      <c r="W152" s="148">
        <f t="shared" si="69"/>
        <v>500</v>
      </c>
      <c r="X152" s="48"/>
      <c r="Y152" s="197">
        <f t="shared" si="66"/>
        <v>0.25</v>
      </c>
      <c r="Z152" s="48"/>
      <c r="AA152" s="178">
        <f t="shared" si="67"/>
        <v>1166.6666666666665</v>
      </c>
      <c r="AB152" s="147"/>
      <c r="AC152" s="147">
        <v>2000</v>
      </c>
      <c r="AD152" s="183"/>
      <c r="AE152" s="183">
        <f t="shared" si="62"/>
        <v>1500</v>
      </c>
    </row>
    <row r="153" spans="1:31" ht="16" x14ac:dyDescent="0.2">
      <c r="A153" s="32"/>
      <c r="B153" s="32"/>
      <c r="C153" s="32"/>
      <c r="D153" s="32" t="s">
        <v>132</v>
      </c>
      <c r="E153" s="32"/>
      <c r="F153" s="32"/>
      <c r="G153" s="129"/>
      <c r="H153" s="146">
        <v>447.18</v>
      </c>
      <c r="I153" s="147">
        <v>245.03</v>
      </c>
      <c r="J153" s="147">
        <v>412.63</v>
      </c>
      <c r="K153" s="147">
        <v>2532.7399999999998</v>
      </c>
      <c r="L153" s="147">
        <v>26.18</v>
      </c>
      <c r="M153" s="147">
        <v>104.71</v>
      </c>
      <c r="N153" s="147">
        <v>307.64</v>
      </c>
      <c r="O153" s="147"/>
      <c r="P153" s="147"/>
      <c r="Q153" s="147"/>
      <c r="R153" s="147"/>
      <c r="S153" s="257"/>
      <c r="T153" s="229">
        <f t="shared" si="68"/>
        <v>458.33333333333331</v>
      </c>
      <c r="U153" s="147">
        <f t="shared" si="61"/>
        <v>867.77666666666664</v>
      </c>
      <c r="V153" s="147"/>
      <c r="W153" s="148">
        <f t="shared" si="69"/>
        <v>4076.1099999999997</v>
      </c>
      <c r="X153" s="48"/>
      <c r="Y153" s="197">
        <f t="shared" si="66"/>
        <v>0.74111090909090904</v>
      </c>
      <c r="Z153" s="48"/>
      <c r="AA153" s="178">
        <f t="shared" si="67"/>
        <v>3208.333333333333</v>
      </c>
      <c r="AB153" s="147"/>
      <c r="AC153" s="147">
        <v>5500</v>
      </c>
      <c r="AD153" s="183"/>
      <c r="AE153" s="183">
        <f t="shared" si="62"/>
        <v>1423.8900000000003</v>
      </c>
    </row>
    <row r="154" spans="1:31" ht="17" thickBot="1" x14ac:dyDescent="0.25">
      <c r="A154" s="32"/>
      <c r="B154" s="32"/>
      <c r="C154" s="32"/>
      <c r="D154" s="32" t="s">
        <v>133</v>
      </c>
      <c r="E154" s="32"/>
      <c r="F154" s="32"/>
      <c r="G154" s="129"/>
      <c r="H154" s="146">
        <v>0</v>
      </c>
      <c r="I154" s="147">
        <v>0</v>
      </c>
      <c r="J154" s="147">
        <v>0</v>
      </c>
      <c r="K154" s="147">
        <v>0</v>
      </c>
      <c r="L154" s="147">
        <v>0</v>
      </c>
      <c r="M154" s="147">
        <v>0</v>
      </c>
      <c r="N154" s="147"/>
      <c r="O154" s="147">
        <v>0</v>
      </c>
      <c r="P154" s="147"/>
      <c r="Q154" s="147"/>
      <c r="R154" s="147"/>
      <c r="S154" s="257"/>
      <c r="T154" s="229">
        <f t="shared" si="68"/>
        <v>25</v>
      </c>
      <c r="U154" s="147">
        <f t="shared" si="61"/>
        <v>-175</v>
      </c>
      <c r="V154" s="147"/>
      <c r="W154" s="148">
        <f t="shared" si="69"/>
        <v>0</v>
      </c>
      <c r="X154" s="48"/>
      <c r="Y154" s="197">
        <f t="shared" si="66"/>
        <v>0</v>
      </c>
      <c r="Z154" s="48"/>
      <c r="AA154" s="178">
        <f t="shared" si="67"/>
        <v>175</v>
      </c>
      <c r="AB154" s="147"/>
      <c r="AC154" s="147">
        <v>300</v>
      </c>
      <c r="AD154" s="183"/>
      <c r="AE154" s="183">
        <f t="shared" si="62"/>
        <v>300</v>
      </c>
    </row>
    <row r="155" spans="1:31" ht="17" thickBot="1" x14ac:dyDescent="0.25">
      <c r="A155" s="32"/>
      <c r="B155" s="32"/>
      <c r="C155" s="104" t="s">
        <v>134</v>
      </c>
      <c r="D155" s="104"/>
      <c r="E155" s="104"/>
      <c r="F155" s="104"/>
      <c r="G155" s="132"/>
      <c r="H155" s="157">
        <f t="shared" ref="H155:S155" si="70">SUM(H148:H154)</f>
        <v>2197.1799999999998</v>
      </c>
      <c r="I155" s="155">
        <f t="shared" si="70"/>
        <v>20692.650000000001</v>
      </c>
      <c r="J155" s="155">
        <f t="shared" si="70"/>
        <v>19210.97</v>
      </c>
      <c r="K155" s="155">
        <f t="shared" si="70"/>
        <v>109909.95000000001</v>
      </c>
      <c r="L155" s="155">
        <f t="shared" si="70"/>
        <v>961.18</v>
      </c>
      <c r="M155" s="155">
        <f t="shared" si="70"/>
        <v>43065.659999999996</v>
      </c>
      <c r="N155" s="155">
        <f t="shared" si="70"/>
        <v>20201.8</v>
      </c>
      <c r="O155" s="155">
        <f t="shared" si="70"/>
        <v>0</v>
      </c>
      <c r="P155" s="155">
        <f t="shared" si="70"/>
        <v>0</v>
      </c>
      <c r="Q155" s="155">
        <f t="shared" si="70"/>
        <v>0</v>
      </c>
      <c r="R155" s="155">
        <f t="shared" si="70"/>
        <v>0</v>
      </c>
      <c r="S155" s="262">
        <f t="shared" si="70"/>
        <v>0</v>
      </c>
      <c r="T155" s="233">
        <f t="shared" si="68"/>
        <v>9650</v>
      </c>
      <c r="U155" s="155">
        <f t="shared" si="61"/>
        <v>148689.38999999998</v>
      </c>
      <c r="V155" s="155"/>
      <c r="W155" s="156">
        <f>SUM(H155:S155)</f>
        <v>216239.38999999998</v>
      </c>
      <c r="X155" s="53"/>
      <c r="Y155" s="199">
        <f t="shared" si="66"/>
        <v>1.8673522452504316</v>
      </c>
      <c r="Z155" s="53"/>
      <c r="AA155" s="180">
        <f>SUM(AA148:AA154)</f>
        <v>67550</v>
      </c>
      <c r="AB155" s="155">
        <f>SUM(AB148:AB154)</f>
        <v>0</v>
      </c>
      <c r="AC155" s="155">
        <f>SUM(AC148:AC154)</f>
        <v>115800</v>
      </c>
      <c r="AD155" s="187"/>
      <c r="AE155" s="155">
        <f>SUM(AE148:AE154)</f>
        <v>-100439.39000000003</v>
      </c>
    </row>
    <row r="156" spans="1:31" ht="16" x14ac:dyDescent="0.2">
      <c r="A156" s="32"/>
      <c r="B156" s="32"/>
      <c r="C156" s="32" t="s">
        <v>135</v>
      </c>
      <c r="D156" s="32"/>
      <c r="E156" s="32"/>
      <c r="F156" s="32"/>
      <c r="G156" s="129"/>
      <c r="H156" s="143"/>
      <c r="I156" s="48"/>
      <c r="J156" s="48"/>
      <c r="K156" s="48"/>
      <c r="L156" s="48"/>
      <c r="M156" s="48"/>
      <c r="N156" s="48"/>
      <c r="O156" s="48"/>
      <c r="P156" s="48"/>
      <c r="Q156" s="48"/>
      <c r="R156" s="48"/>
      <c r="S156" s="261"/>
      <c r="T156" s="234" t="s">
        <v>178</v>
      </c>
      <c r="U156" s="48" t="s">
        <v>178</v>
      </c>
      <c r="V156" s="48"/>
      <c r="W156" s="48" t="s">
        <v>178</v>
      </c>
      <c r="X156" s="48"/>
      <c r="Y156" s="48"/>
      <c r="Z156" s="48"/>
      <c r="AA156" s="19"/>
      <c r="AB156" s="147"/>
      <c r="AC156" s="147"/>
      <c r="AD156" s="183"/>
      <c r="AE156" s="183"/>
    </row>
    <row r="157" spans="1:31" ht="16" x14ac:dyDescent="0.2">
      <c r="A157" s="32"/>
      <c r="B157" s="32"/>
      <c r="C157" s="32"/>
      <c r="D157" s="93" t="s">
        <v>136</v>
      </c>
      <c r="E157" s="93"/>
      <c r="F157" s="93"/>
      <c r="G157" s="130"/>
      <c r="H157" s="144"/>
      <c r="I157" s="94"/>
      <c r="J157" s="94"/>
      <c r="K157" s="150"/>
      <c r="L157" s="94"/>
      <c r="M157" s="94"/>
      <c r="N157" s="94"/>
      <c r="O157" s="94"/>
      <c r="P157" s="94"/>
      <c r="Q157" s="94"/>
      <c r="R157" s="94"/>
      <c r="S157" s="266"/>
      <c r="T157" s="238" t="s">
        <v>178</v>
      </c>
      <c r="U157" s="94" t="s">
        <v>178</v>
      </c>
      <c r="V157" s="94"/>
      <c r="W157" s="94" t="s">
        <v>178</v>
      </c>
      <c r="X157" s="94"/>
      <c r="Y157" s="94"/>
      <c r="Z157" s="94"/>
      <c r="AA157" s="150"/>
      <c r="AB157" s="150"/>
      <c r="AC157" s="150"/>
      <c r="AD157" s="184"/>
      <c r="AE157" s="184"/>
    </row>
    <row r="158" spans="1:31" ht="16" x14ac:dyDescent="0.2">
      <c r="A158" s="32"/>
      <c r="B158" s="32"/>
      <c r="C158" s="32"/>
      <c r="D158" s="32"/>
      <c r="E158" s="32"/>
      <c r="F158" s="32" t="s">
        <v>137</v>
      </c>
      <c r="G158" s="129"/>
      <c r="H158" s="146">
        <v>41496.18</v>
      </c>
      <c r="I158" s="147">
        <v>29627.59</v>
      </c>
      <c r="J158" s="147">
        <v>30769.96</v>
      </c>
      <c r="K158" s="147">
        <v>48770.62</v>
      </c>
      <c r="L158" s="147">
        <v>26302.16</v>
      </c>
      <c r="M158" s="147">
        <v>29372.26</v>
      </c>
      <c r="N158" s="147">
        <v>13887.06</v>
      </c>
      <c r="O158" s="147"/>
      <c r="P158" s="147"/>
      <c r="Q158" s="147"/>
      <c r="R158" s="147"/>
      <c r="S158" s="257"/>
      <c r="T158" s="229">
        <f>AC158/12</f>
        <v>44166.666666666664</v>
      </c>
      <c r="U158" s="147">
        <f t="shared" si="61"/>
        <v>-88940.836666666612</v>
      </c>
      <c r="V158" s="147"/>
      <c r="W158" s="148">
        <f>SUM(H158:S158)</f>
        <v>220225.83000000002</v>
      </c>
      <c r="X158" s="48"/>
      <c r="Y158" s="197">
        <f t="shared" ref="Y158:Y171" si="71">W158/AC158</f>
        <v>0.41552043396226418</v>
      </c>
      <c r="Z158" s="48"/>
      <c r="AA158" s="178">
        <f>AC158/12*$AI$5</f>
        <v>309166.66666666663</v>
      </c>
      <c r="AB158" s="147"/>
      <c r="AC158" s="147">
        <v>530000</v>
      </c>
      <c r="AD158" s="183"/>
      <c r="AE158" s="183">
        <f t="shared" si="62"/>
        <v>309774.17</v>
      </c>
    </row>
    <row r="159" spans="1:31" ht="16" x14ac:dyDescent="0.2">
      <c r="A159" s="32"/>
      <c r="B159" s="32"/>
      <c r="C159" s="32"/>
      <c r="D159" s="32"/>
      <c r="E159" s="32"/>
      <c r="F159" s="32" t="s">
        <v>207</v>
      </c>
      <c r="G159" s="129"/>
      <c r="H159" s="146">
        <v>5066.12</v>
      </c>
      <c r="I159" s="147">
        <v>3641.35</v>
      </c>
      <c r="J159" s="147">
        <v>3711.34</v>
      </c>
      <c r="K159" s="147">
        <v>5372.5</v>
      </c>
      <c r="L159" s="147">
        <v>3031.15</v>
      </c>
      <c r="M159" s="147">
        <v>3108.2</v>
      </c>
      <c r="N159" s="147">
        <v>5317.19</v>
      </c>
      <c r="O159" s="147"/>
      <c r="P159" s="147"/>
      <c r="Q159" s="147"/>
      <c r="R159" s="147"/>
      <c r="S159" s="257"/>
      <c r="T159" s="229">
        <f t="shared" ref="T159:T169" si="72">AC159/12</f>
        <v>5825</v>
      </c>
      <c r="U159" s="147">
        <f>W159-AA159</f>
        <v>-11527.150000000001</v>
      </c>
      <c r="V159" s="147"/>
      <c r="W159" s="148">
        <f t="shared" ref="W159:W169" si="73">SUM(H159:S159)</f>
        <v>29247.85</v>
      </c>
      <c r="X159" s="48"/>
      <c r="Y159" s="197">
        <f>W159/AC159</f>
        <v>0.41842417739628041</v>
      </c>
      <c r="Z159" s="48"/>
      <c r="AA159" s="178">
        <f>AC159/12*$AI$5</f>
        <v>40775</v>
      </c>
      <c r="AB159" s="147"/>
      <c r="AC159" s="147">
        <v>69900</v>
      </c>
      <c r="AD159" s="183"/>
      <c r="AE159" s="183">
        <f>AC159-W159</f>
        <v>40652.15</v>
      </c>
    </row>
    <row r="160" spans="1:31" ht="16" x14ac:dyDescent="0.2">
      <c r="A160" s="32"/>
      <c r="B160" s="32"/>
      <c r="C160" s="32"/>
      <c r="D160" s="105" t="s">
        <v>138</v>
      </c>
      <c r="E160" s="105"/>
      <c r="F160" s="105"/>
      <c r="G160" s="131"/>
      <c r="H160" s="151">
        <f t="shared" ref="H160:S160" si="74">SUM(H158:H159)</f>
        <v>46562.3</v>
      </c>
      <c r="I160" s="152">
        <f t="shared" si="74"/>
        <v>33268.94</v>
      </c>
      <c r="J160" s="152">
        <f t="shared" si="74"/>
        <v>34481.300000000003</v>
      </c>
      <c r="K160" s="152">
        <f>SUM(K157:K159)</f>
        <v>54143.12</v>
      </c>
      <c r="L160" s="152">
        <f t="shared" si="74"/>
        <v>29333.31</v>
      </c>
      <c r="M160" s="152">
        <f t="shared" si="74"/>
        <v>32480.46</v>
      </c>
      <c r="N160" s="152">
        <f t="shared" si="74"/>
        <v>19204.25</v>
      </c>
      <c r="O160" s="152">
        <f t="shared" si="74"/>
        <v>0</v>
      </c>
      <c r="P160" s="152">
        <f t="shared" si="74"/>
        <v>0</v>
      </c>
      <c r="Q160" s="152">
        <f t="shared" si="74"/>
        <v>0</v>
      </c>
      <c r="R160" s="152">
        <f t="shared" si="74"/>
        <v>0</v>
      </c>
      <c r="S160" s="259">
        <f t="shared" si="74"/>
        <v>0</v>
      </c>
      <c r="T160" s="231">
        <f t="shared" si="72"/>
        <v>49991.666666666664</v>
      </c>
      <c r="U160" s="152">
        <f>W160-AA160</f>
        <v>-100467.98666666663</v>
      </c>
      <c r="V160" s="152"/>
      <c r="W160" s="152">
        <f t="shared" si="73"/>
        <v>249473.68</v>
      </c>
      <c r="X160" s="103"/>
      <c r="Y160" s="200">
        <f t="shared" si="71"/>
        <v>0.41585877646274377</v>
      </c>
      <c r="Z160" s="103"/>
      <c r="AA160" s="152">
        <f>SUM(AA158:AA159)</f>
        <v>349941.66666666663</v>
      </c>
      <c r="AB160" s="152">
        <f>SUM(AB158:AB159)</f>
        <v>0</v>
      </c>
      <c r="AC160" s="152">
        <f>SUM(AC158:AC159)</f>
        <v>599900</v>
      </c>
      <c r="AD160" s="152"/>
      <c r="AE160" s="152">
        <f>SUM(AE158:AE159)</f>
        <v>350426.32</v>
      </c>
    </row>
    <row r="161" spans="1:31" ht="16" x14ac:dyDescent="0.2">
      <c r="A161" s="32"/>
      <c r="B161" s="32"/>
      <c r="C161" s="32"/>
      <c r="D161" s="32" t="s">
        <v>139</v>
      </c>
      <c r="E161" s="32"/>
      <c r="F161" s="32"/>
      <c r="G161" s="129"/>
      <c r="H161" s="146">
        <v>4560.16</v>
      </c>
      <c r="I161" s="147">
        <v>3678.72</v>
      </c>
      <c r="J161" s="147">
        <v>3265.99</v>
      </c>
      <c r="K161" s="147">
        <v>3717.53</v>
      </c>
      <c r="L161" s="147">
        <v>4485.55</v>
      </c>
      <c r="M161" s="147">
        <v>864.69</v>
      </c>
      <c r="N161" s="147">
        <v>864.69</v>
      </c>
      <c r="O161" s="147"/>
      <c r="P161" s="147"/>
      <c r="Q161" s="147"/>
      <c r="R161" s="147"/>
      <c r="S161" s="257"/>
      <c r="T161" s="229">
        <f t="shared" si="72"/>
        <v>5500</v>
      </c>
      <c r="U161" s="147">
        <f t="shared" si="61"/>
        <v>-17062.670000000002</v>
      </c>
      <c r="V161" s="147"/>
      <c r="W161" s="148">
        <f t="shared" si="73"/>
        <v>21437.329999999998</v>
      </c>
      <c r="X161" s="48"/>
      <c r="Y161" s="197">
        <f t="shared" si="71"/>
        <v>0.32480803030303029</v>
      </c>
      <c r="Z161" s="48"/>
      <c r="AA161" s="178">
        <f t="shared" ref="AA161:AA169" si="75">AC161/12*$AI$5</f>
        <v>38500</v>
      </c>
      <c r="AB161" s="147"/>
      <c r="AC161" s="147">
        <v>66000</v>
      </c>
      <c r="AD161" s="183"/>
      <c r="AE161" s="183">
        <f t="shared" si="62"/>
        <v>44562.67</v>
      </c>
    </row>
    <row r="162" spans="1:31" ht="16" x14ac:dyDescent="0.2">
      <c r="A162" s="32"/>
      <c r="B162" s="32"/>
      <c r="C162" s="32"/>
      <c r="D162" s="32" t="s">
        <v>140</v>
      </c>
      <c r="E162" s="32"/>
      <c r="F162" s="32"/>
      <c r="G162" s="129"/>
      <c r="H162" s="146">
        <v>310.37</v>
      </c>
      <c r="I162" s="147">
        <v>310.37</v>
      </c>
      <c r="J162" s="147">
        <v>310.37</v>
      </c>
      <c r="K162" s="147">
        <v>310.37</v>
      </c>
      <c r="L162" s="147">
        <v>310.37</v>
      </c>
      <c r="M162" s="147">
        <v>310.37</v>
      </c>
      <c r="N162" s="147">
        <v>310.37</v>
      </c>
      <c r="O162" s="147"/>
      <c r="P162" s="147"/>
      <c r="Q162" s="147"/>
      <c r="R162" s="147"/>
      <c r="S162" s="257"/>
      <c r="T162" s="229">
        <f t="shared" si="72"/>
        <v>208.33333333333334</v>
      </c>
      <c r="U162" s="147">
        <f t="shared" si="61"/>
        <v>714.25666666666621</v>
      </c>
      <c r="V162" s="147"/>
      <c r="W162" s="148">
        <f t="shared" si="73"/>
        <v>2172.5899999999997</v>
      </c>
      <c r="X162" s="48"/>
      <c r="Y162" s="197">
        <f t="shared" si="71"/>
        <v>0.86903599999999992</v>
      </c>
      <c r="Z162" s="48"/>
      <c r="AA162" s="178">
        <f t="shared" si="75"/>
        <v>1458.3333333333335</v>
      </c>
      <c r="AB162" s="147"/>
      <c r="AC162" s="147">
        <v>2500</v>
      </c>
      <c r="AD162" s="183"/>
      <c r="AE162" s="183">
        <f t="shared" si="62"/>
        <v>327.41000000000031</v>
      </c>
    </row>
    <row r="163" spans="1:31" ht="16" x14ac:dyDescent="0.2">
      <c r="A163" s="32"/>
      <c r="B163" s="32"/>
      <c r="C163" s="32"/>
      <c r="D163" s="32" t="s">
        <v>141</v>
      </c>
      <c r="E163" s="32"/>
      <c r="F163" s="32"/>
      <c r="G163" s="129"/>
      <c r="H163" s="146">
        <v>756.75</v>
      </c>
      <c r="I163" s="147">
        <v>756.75</v>
      </c>
      <c r="J163" s="147">
        <v>756.75</v>
      </c>
      <c r="K163" s="147">
        <v>756.75</v>
      </c>
      <c r="L163" s="147">
        <v>756.75</v>
      </c>
      <c r="M163" s="147">
        <v>756.75</v>
      </c>
      <c r="N163" s="147">
        <v>756.75</v>
      </c>
      <c r="O163" s="147"/>
      <c r="P163" s="147"/>
      <c r="Q163" s="147"/>
      <c r="R163" s="147"/>
      <c r="S163" s="257"/>
      <c r="T163" s="229">
        <f t="shared" si="72"/>
        <v>833.33333333333337</v>
      </c>
      <c r="U163" s="147">
        <f t="shared" si="61"/>
        <v>-536.08333333333394</v>
      </c>
      <c r="V163" s="147"/>
      <c r="W163" s="148">
        <f t="shared" si="73"/>
        <v>5297.25</v>
      </c>
      <c r="X163" s="48"/>
      <c r="Y163" s="197">
        <f t="shared" si="71"/>
        <v>0.529725</v>
      </c>
      <c r="Z163" s="48"/>
      <c r="AA163" s="178">
        <f t="shared" si="75"/>
        <v>5833.3333333333339</v>
      </c>
      <c r="AB163" s="147"/>
      <c r="AC163" s="147">
        <v>10000</v>
      </c>
      <c r="AD163" s="183"/>
      <c r="AE163" s="183">
        <f t="shared" si="62"/>
        <v>4702.75</v>
      </c>
    </row>
    <row r="164" spans="1:31" ht="16" x14ac:dyDescent="0.2">
      <c r="A164" s="32"/>
      <c r="B164" s="32"/>
      <c r="C164" s="32"/>
      <c r="D164" s="32" t="s">
        <v>142</v>
      </c>
      <c r="E164" s="32"/>
      <c r="F164" s="32"/>
      <c r="G164" s="129"/>
      <c r="H164" s="146"/>
      <c r="I164" s="147"/>
      <c r="J164" s="147"/>
      <c r="K164" s="147"/>
      <c r="L164" s="147"/>
      <c r="M164" s="147"/>
      <c r="N164" s="147"/>
      <c r="O164" s="147"/>
      <c r="P164" s="147"/>
      <c r="Q164" s="147"/>
      <c r="R164" s="147"/>
      <c r="S164" s="257"/>
      <c r="T164" s="229">
        <f t="shared" si="72"/>
        <v>83.333333333333329</v>
      </c>
      <c r="U164" s="147">
        <f t="shared" si="61"/>
        <v>-583.33333333333326</v>
      </c>
      <c r="V164" s="147"/>
      <c r="W164" s="148">
        <f t="shared" si="73"/>
        <v>0</v>
      </c>
      <c r="X164" s="48"/>
      <c r="Y164" s="197">
        <f t="shared" si="71"/>
        <v>0</v>
      </c>
      <c r="Z164" s="48"/>
      <c r="AA164" s="178">
        <f t="shared" si="75"/>
        <v>583.33333333333326</v>
      </c>
      <c r="AB164" s="147"/>
      <c r="AC164" s="147">
        <v>1000</v>
      </c>
      <c r="AD164" s="183"/>
      <c r="AE164" s="183">
        <f t="shared" si="62"/>
        <v>1000</v>
      </c>
    </row>
    <row r="165" spans="1:31" ht="16" x14ac:dyDescent="0.2">
      <c r="A165" s="32"/>
      <c r="B165" s="32"/>
      <c r="C165" s="32"/>
      <c r="D165" s="32" t="s">
        <v>143</v>
      </c>
      <c r="E165" s="32"/>
      <c r="F165" s="32"/>
      <c r="G165" s="129"/>
      <c r="H165" s="146"/>
      <c r="I165" s="147"/>
      <c r="J165" s="147"/>
      <c r="K165" s="147"/>
      <c r="L165" s="147"/>
      <c r="M165" s="147"/>
      <c r="N165" s="147"/>
      <c r="O165" s="147"/>
      <c r="P165" s="147"/>
      <c r="Q165" s="147"/>
      <c r="R165" s="147"/>
      <c r="S165" s="257"/>
      <c r="T165" s="229">
        <f t="shared" si="72"/>
        <v>25</v>
      </c>
      <c r="U165" s="147">
        <f t="shared" si="61"/>
        <v>-175</v>
      </c>
      <c r="V165" s="147"/>
      <c r="W165" s="148">
        <f t="shared" si="73"/>
        <v>0</v>
      </c>
      <c r="X165" s="48"/>
      <c r="Y165" s="197">
        <f t="shared" si="71"/>
        <v>0</v>
      </c>
      <c r="Z165" s="48"/>
      <c r="AA165" s="178">
        <f t="shared" si="75"/>
        <v>175</v>
      </c>
      <c r="AB165" s="147"/>
      <c r="AC165" s="147">
        <v>300</v>
      </c>
      <c r="AD165" s="183"/>
      <c r="AE165" s="183">
        <f t="shared" si="62"/>
        <v>300</v>
      </c>
    </row>
    <row r="166" spans="1:31" ht="16" x14ac:dyDescent="0.2">
      <c r="A166" s="32"/>
      <c r="B166" s="32"/>
      <c r="C166" s="32"/>
      <c r="D166" s="32" t="s">
        <v>185</v>
      </c>
      <c r="E166" s="32"/>
      <c r="F166" s="32"/>
      <c r="G166" s="129"/>
      <c r="H166" s="146"/>
      <c r="I166" s="147"/>
      <c r="J166" s="147"/>
      <c r="K166" s="147"/>
      <c r="L166" s="147"/>
      <c r="M166" s="147">
        <v>122.26</v>
      </c>
      <c r="N166" s="147"/>
      <c r="O166" s="147"/>
      <c r="P166" s="147"/>
      <c r="Q166" s="147"/>
      <c r="R166" s="147"/>
      <c r="S166" s="257"/>
      <c r="T166" s="229">
        <f t="shared" si="72"/>
        <v>500</v>
      </c>
      <c r="U166" s="147">
        <f t="shared" si="61"/>
        <v>-3377.74</v>
      </c>
      <c r="V166" s="147"/>
      <c r="W166" s="148">
        <f t="shared" si="73"/>
        <v>122.26</v>
      </c>
      <c r="X166" s="48"/>
      <c r="Y166" s="197">
        <f t="shared" si="71"/>
        <v>2.0376666666666668E-2</v>
      </c>
      <c r="Z166" s="48"/>
      <c r="AA166" s="178">
        <f t="shared" si="75"/>
        <v>3500</v>
      </c>
      <c r="AB166" s="147"/>
      <c r="AC166" s="147">
        <v>6000</v>
      </c>
      <c r="AD166" s="183"/>
      <c r="AE166" s="183">
        <f t="shared" si="62"/>
        <v>5877.74</v>
      </c>
    </row>
    <row r="167" spans="1:31" ht="16" x14ac:dyDescent="0.2">
      <c r="A167" s="32"/>
      <c r="B167" s="32"/>
      <c r="C167" s="32"/>
      <c r="D167" s="32" t="s">
        <v>144</v>
      </c>
      <c r="E167" s="32"/>
      <c r="F167" s="32"/>
      <c r="G167" s="129"/>
      <c r="H167" s="146">
        <v>625.1</v>
      </c>
      <c r="I167" s="147">
        <v>587.4</v>
      </c>
      <c r="J167" s="147">
        <v>576.92999999999995</v>
      </c>
      <c r="K167" s="147">
        <v>621.96</v>
      </c>
      <c r="L167" s="147">
        <v>603.11</v>
      </c>
      <c r="M167" s="147">
        <v>673.26</v>
      </c>
      <c r="N167" s="147">
        <v>231.38</v>
      </c>
      <c r="O167" s="147"/>
      <c r="P167" s="147"/>
      <c r="Q167" s="147"/>
      <c r="R167" s="147"/>
      <c r="S167" s="257"/>
      <c r="T167" s="229">
        <f t="shared" si="72"/>
        <v>416.66666666666669</v>
      </c>
      <c r="U167" s="147">
        <f t="shared" si="61"/>
        <v>1002.4733333333334</v>
      </c>
      <c r="V167" s="147"/>
      <c r="W167" s="148">
        <f t="shared" si="73"/>
        <v>3919.1400000000003</v>
      </c>
      <c r="X167" s="48"/>
      <c r="Y167" s="197">
        <f t="shared" si="71"/>
        <v>0.78382800000000008</v>
      </c>
      <c r="Z167" s="48"/>
      <c r="AA167" s="178">
        <f t="shared" si="75"/>
        <v>2916.666666666667</v>
      </c>
      <c r="AB167" s="147"/>
      <c r="AC167" s="147">
        <v>5000</v>
      </c>
      <c r="AD167" s="183"/>
      <c r="AE167" s="183">
        <f t="shared" si="62"/>
        <v>1080.8599999999997</v>
      </c>
    </row>
    <row r="168" spans="1:31" ht="16" x14ac:dyDescent="0.2">
      <c r="A168" s="32"/>
      <c r="B168" s="32"/>
      <c r="C168" s="32"/>
      <c r="D168" s="32" t="s">
        <v>145</v>
      </c>
      <c r="E168" s="32"/>
      <c r="F168" s="32"/>
      <c r="G168" s="129"/>
      <c r="H168" s="146">
        <v>82.42</v>
      </c>
      <c r="I168" s="147"/>
      <c r="J168" s="147"/>
      <c r="K168" s="147">
        <v>706.52</v>
      </c>
      <c r="L168" s="147">
        <v>407</v>
      </c>
      <c r="M168" s="147">
        <v>936.08</v>
      </c>
      <c r="N168" s="147">
        <v>381.36</v>
      </c>
      <c r="O168" s="147"/>
      <c r="P168" s="147"/>
      <c r="Q168" s="147"/>
      <c r="R168" s="147"/>
      <c r="S168" s="257"/>
      <c r="T168" s="229">
        <f t="shared" si="72"/>
        <v>166.66666666666666</v>
      </c>
      <c r="U168" s="147">
        <f t="shared" si="61"/>
        <v>1346.7133333333336</v>
      </c>
      <c r="V168" s="147"/>
      <c r="W168" s="148">
        <f t="shared" si="73"/>
        <v>2513.38</v>
      </c>
      <c r="X168" s="48"/>
      <c r="Y168" s="197">
        <f t="shared" si="71"/>
        <v>1.2566900000000001</v>
      </c>
      <c r="Z168" s="48"/>
      <c r="AA168" s="178">
        <f t="shared" si="75"/>
        <v>1166.6666666666665</v>
      </c>
      <c r="AB168" s="147"/>
      <c r="AC168" s="147">
        <v>2000</v>
      </c>
      <c r="AD168" s="183"/>
      <c r="AE168" s="183">
        <f t="shared" si="62"/>
        <v>-513.38000000000011</v>
      </c>
    </row>
    <row r="169" spans="1:31" ht="17" thickBot="1" x14ac:dyDescent="0.25">
      <c r="A169" s="32"/>
      <c r="B169" s="32"/>
      <c r="C169" s="32"/>
      <c r="D169" s="32" t="s">
        <v>146</v>
      </c>
      <c r="E169" s="32"/>
      <c r="F169" s="32"/>
      <c r="G169" s="129"/>
      <c r="H169" s="146"/>
      <c r="I169" s="147"/>
      <c r="J169" s="147"/>
      <c r="K169" s="147"/>
      <c r="L169" s="147"/>
      <c r="M169" s="147"/>
      <c r="N169" s="147"/>
      <c r="O169" s="147"/>
      <c r="P169" s="147"/>
      <c r="Q169" s="147"/>
      <c r="R169" s="147"/>
      <c r="S169" s="257"/>
      <c r="T169" s="229">
        <f t="shared" si="72"/>
        <v>16.666666666666668</v>
      </c>
      <c r="U169" s="147">
        <f t="shared" si="61"/>
        <v>-116.66666666666667</v>
      </c>
      <c r="V169" s="147"/>
      <c r="W169" s="148">
        <f t="shared" si="73"/>
        <v>0</v>
      </c>
      <c r="X169" s="48"/>
      <c r="Y169" s="197">
        <f t="shared" si="71"/>
        <v>0</v>
      </c>
      <c r="Z169" s="48"/>
      <c r="AA169" s="178">
        <f t="shared" si="75"/>
        <v>116.66666666666667</v>
      </c>
      <c r="AB169" s="147"/>
      <c r="AC169" s="147">
        <v>200</v>
      </c>
      <c r="AD169" s="183"/>
      <c r="AE169" s="183">
        <f t="shared" si="62"/>
        <v>200</v>
      </c>
    </row>
    <row r="170" spans="1:31" ht="17" thickBot="1" x14ac:dyDescent="0.25">
      <c r="A170" s="32"/>
      <c r="B170" s="32"/>
      <c r="C170" s="115" t="s">
        <v>147</v>
      </c>
      <c r="D170" s="115"/>
      <c r="E170" s="115"/>
      <c r="F170" s="115"/>
      <c r="G170" s="128"/>
      <c r="H170" s="224">
        <f>SUM(H161:H169)+H160</f>
        <v>52897.100000000006</v>
      </c>
      <c r="I170" s="225">
        <f t="shared" ref="I170:S170" si="76">SUM(I161:I169)+I160</f>
        <v>38602.18</v>
      </c>
      <c r="J170" s="225">
        <f t="shared" si="76"/>
        <v>39391.340000000004</v>
      </c>
      <c r="K170" s="225">
        <f t="shared" si="76"/>
        <v>60256.25</v>
      </c>
      <c r="L170" s="225">
        <f t="shared" si="76"/>
        <v>35896.090000000004</v>
      </c>
      <c r="M170" s="170">
        <f t="shared" si="76"/>
        <v>36143.869999999995</v>
      </c>
      <c r="N170" s="170">
        <f>SUM(N161:N169)+N160</f>
        <v>21748.799999999999</v>
      </c>
      <c r="O170" s="170">
        <f t="shared" si="76"/>
        <v>0</v>
      </c>
      <c r="P170" s="170">
        <f t="shared" si="76"/>
        <v>0</v>
      </c>
      <c r="Q170" s="170">
        <f t="shared" si="76"/>
        <v>0</v>
      </c>
      <c r="R170" s="170">
        <f t="shared" si="76"/>
        <v>0</v>
      </c>
      <c r="S170" s="270">
        <f t="shared" si="76"/>
        <v>0</v>
      </c>
      <c r="T170" s="241">
        <f>AC170/12</f>
        <v>57741.666666666664</v>
      </c>
      <c r="U170" s="170">
        <f t="shared" si="61"/>
        <v>-119256.03666666668</v>
      </c>
      <c r="V170" s="170"/>
      <c r="W170" s="171">
        <f>SUM(H170:S170)</f>
        <v>284935.62999999995</v>
      </c>
      <c r="X170" s="61"/>
      <c r="Y170" s="207">
        <f t="shared" si="71"/>
        <v>0.41122186462693022</v>
      </c>
      <c r="Z170" s="61"/>
      <c r="AA170" s="189">
        <f>AA157+SUM(AA160:AA169)</f>
        <v>404191.66666666663</v>
      </c>
      <c r="AB170" s="170">
        <f>AB156+SUM(AB160:AB169)</f>
        <v>0</v>
      </c>
      <c r="AC170" s="170">
        <f>SUM(AC160:AC169)</f>
        <v>692900</v>
      </c>
      <c r="AD170" s="190"/>
      <c r="AE170" s="170">
        <f>AE156+SUM(AE160:AE169)</f>
        <v>407964.36999999994</v>
      </c>
    </row>
    <row r="171" spans="1:31" ht="18" thickTop="1" thickBot="1" x14ac:dyDescent="0.25">
      <c r="A171" s="32"/>
      <c r="B171" s="109" t="s">
        <v>148</v>
      </c>
      <c r="C171" s="109"/>
      <c r="D171" s="109"/>
      <c r="E171" s="109"/>
      <c r="F171" s="109"/>
      <c r="G171" s="140"/>
      <c r="H171" s="172">
        <f t="shared" ref="H171:T171" si="77">H71+H111+H137+H77+H87+H102+H146+H155+H170</f>
        <v>230278.44</v>
      </c>
      <c r="I171" s="173">
        <f t="shared" si="77"/>
        <v>240945.68999999997</v>
      </c>
      <c r="J171" s="173">
        <f t="shared" si="77"/>
        <v>209433.12</v>
      </c>
      <c r="K171" s="173">
        <f t="shared" si="77"/>
        <v>339625.65</v>
      </c>
      <c r="L171" s="173">
        <f t="shared" si="77"/>
        <v>162347.09</v>
      </c>
      <c r="M171" s="173">
        <f t="shared" si="77"/>
        <v>265957.99</v>
      </c>
      <c r="N171" s="173">
        <f t="shared" si="77"/>
        <v>174003.99</v>
      </c>
      <c r="O171" s="172">
        <f t="shared" si="77"/>
        <v>0</v>
      </c>
      <c r="P171" s="172">
        <f t="shared" si="77"/>
        <v>0</v>
      </c>
      <c r="Q171" s="172">
        <f t="shared" si="77"/>
        <v>0</v>
      </c>
      <c r="R171" s="172">
        <f t="shared" si="77"/>
        <v>0</v>
      </c>
      <c r="S171" s="271">
        <f t="shared" si="77"/>
        <v>0</v>
      </c>
      <c r="T171" s="242">
        <f t="shared" si="77"/>
        <v>169186.25</v>
      </c>
      <c r="U171" s="173">
        <f t="shared" ref="U171" si="78">AD171/12</f>
        <v>0</v>
      </c>
      <c r="V171" s="173"/>
      <c r="W171" s="174">
        <f>SUM(H171:S171)</f>
        <v>1622591.97</v>
      </c>
      <c r="X171" s="96"/>
      <c r="Y171" s="208">
        <f t="shared" si="71"/>
        <v>0.79921386933039773</v>
      </c>
      <c r="Z171" s="96"/>
      <c r="AA171" s="191">
        <f>SUM(AA50+AA71+AA77+AA87+AA102+AA111+AA137+AA146+AA155+AA170)</f>
        <v>1184303.75</v>
      </c>
      <c r="AB171" s="173">
        <f>SUM(AB50+AB71+AB77+AB87+AB102+AB111+AB137+AB146+AB155+AB170)</f>
        <v>0</v>
      </c>
      <c r="AC171" s="173">
        <f>AC71+AC77+AC87+AC102+AC111+AC137+AC146+AC155+AC170</f>
        <v>2030235</v>
      </c>
      <c r="AD171" s="173">
        <f>SUM(AD50+AD71+AD77+AD87+AD102+AD111+AD137+AD146+AD155+AD170)</f>
        <v>0</v>
      </c>
      <c r="AE171" s="173">
        <f>SUM(AE50+AE71+AE77+AE87+AE102+AE111+AE137+AE146+AE155+AE170)</f>
        <v>929930.23999999976</v>
      </c>
    </row>
    <row r="172" spans="1:31" ht="17" thickTop="1" x14ac:dyDescent="0.2">
      <c r="A172" s="32"/>
      <c r="B172" s="32" t="s">
        <v>149</v>
      </c>
      <c r="C172" s="32"/>
      <c r="D172" s="32"/>
      <c r="E172" s="32"/>
      <c r="F172" s="32"/>
      <c r="G172" s="129"/>
      <c r="H172" s="143"/>
      <c r="I172" s="48"/>
      <c r="J172" s="48"/>
      <c r="K172" s="48"/>
      <c r="L172" s="48"/>
      <c r="M172" s="48"/>
      <c r="N172" s="48"/>
      <c r="O172" s="48"/>
      <c r="P172" s="48"/>
      <c r="Q172" s="48"/>
      <c r="R172" s="48"/>
      <c r="S172" s="261"/>
      <c r="T172" s="234" t="s">
        <v>178</v>
      </c>
      <c r="U172" s="48" t="s">
        <v>178</v>
      </c>
      <c r="V172" s="48"/>
      <c r="W172" s="48" t="s">
        <v>178</v>
      </c>
      <c r="X172" s="48"/>
      <c r="Y172" s="48"/>
      <c r="Z172" s="48"/>
      <c r="AA172" s="147"/>
      <c r="AB172" s="147"/>
      <c r="AC172" s="147"/>
      <c r="AD172" s="183"/>
      <c r="AE172" s="183"/>
    </row>
    <row r="173" spans="1:31" ht="16" x14ac:dyDescent="0.2">
      <c r="A173" s="32"/>
      <c r="B173" s="32"/>
      <c r="C173" s="32" t="s">
        <v>150</v>
      </c>
      <c r="D173" s="32"/>
      <c r="E173" s="32"/>
      <c r="F173" s="32"/>
      <c r="G173" s="129"/>
      <c r="H173" s="143"/>
      <c r="I173" s="48"/>
      <c r="J173" s="48"/>
      <c r="K173" s="48"/>
      <c r="L173" s="48"/>
      <c r="M173" s="48"/>
      <c r="N173" s="48"/>
      <c r="O173" s="48"/>
      <c r="P173" s="48"/>
      <c r="Q173" s="48"/>
      <c r="R173" s="48"/>
      <c r="S173" s="261"/>
      <c r="T173" s="234"/>
      <c r="U173" s="48"/>
      <c r="V173" s="48"/>
      <c r="W173" s="48"/>
      <c r="X173" s="48"/>
      <c r="Y173" s="48"/>
      <c r="Z173" s="48"/>
      <c r="AA173" s="147"/>
      <c r="AB173" s="147"/>
      <c r="AC173" s="147"/>
      <c r="AD173" s="183"/>
      <c r="AE173" s="183"/>
    </row>
    <row r="174" spans="1:31" ht="16" x14ac:dyDescent="0.2">
      <c r="A174" s="32"/>
      <c r="B174" s="32"/>
      <c r="C174" s="32"/>
      <c r="D174" s="32" t="s">
        <v>151</v>
      </c>
      <c r="E174" s="32"/>
      <c r="F174" s="32"/>
      <c r="G174" s="129"/>
      <c r="H174" s="146">
        <v>311.69</v>
      </c>
      <c r="I174" s="147">
        <v>517.26</v>
      </c>
      <c r="J174" s="147"/>
      <c r="K174" s="147">
        <v>289.29000000000002</v>
      </c>
      <c r="L174" s="147">
        <v>218.12</v>
      </c>
      <c r="M174" s="147">
        <v>254.81</v>
      </c>
      <c r="N174" s="147">
        <v>211.81</v>
      </c>
      <c r="O174" s="147"/>
      <c r="P174" s="147"/>
      <c r="Q174" s="147"/>
      <c r="R174" s="147"/>
      <c r="S174" s="257"/>
      <c r="T174" s="229">
        <f t="shared" ref="T174:T188" si="79">AC174/12</f>
        <v>250</v>
      </c>
      <c r="U174" s="147">
        <f t="shared" si="61"/>
        <v>52.980000000000018</v>
      </c>
      <c r="V174" s="147"/>
      <c r="W174" s="148">
        <f t="shared" ref="W174:W188" si="80">SUM(H174:S174)</f>
        <v>1802.98</v>
      </c>
      <c r="X174" s="48"/>
      <c r="Y174" s="197">
        <f t="shared" ref="Y174:Y185" si="81">W174/AC174</f>
        <v>0.60099333333333338</v>
      </c>
      <c r="Z174" s="48"/>
      <c r="AA174" s="178">
        <f t="shared" ref="AA174:AA191" si="82">AC174/12*$AI$5</f>
        <v>1750</v>
      </c>
      <c r="AB174" s="147"/>
      <c r="AC174" s="147">
        <v>3000</v>
      </c>
      <c r="AD174" s="183"/>
      <c r="AE174" s="183">
        <f t="shared" si="62"/>
        <v>1197.02</v>
      </c>
    </row>
    <row r="175" spans="1:31" ht="16" x14ac:dyDescent="0.2">
      <c r="A175" s="32"/>
      <c r="B175" s="32"/>
      <c r="C175" s="32"/>
      <c r="D175" s="32" t="s">
        <v>152</v>
      </c>
      <c r="E175" s="32"/>
      <c r="F175" s="32"/>
      <c r="G175" s="129"/>
      <c r="H175" s="146">
        <v>157.06</v>
      </c>
      <c r="I175" s="147"/>
      <c r="J175" s="147"/>
      <c r="K175" s="147"/>
      <c r="L175" s="147"/>
      <c r="M175" s="147"/>
      <c r="N175" s="147"/>
      <c r="O175" s="147"/>
      <c r="P175" s="147"/>
      <c r="Q175" s="147"/>
      <c r="R175" s="147"/>
      <c r="S175" s="257"/>
      <c r="T175" s="229">
        <f t="shared" si="79"/>
        <v>125</v>
      </c>
      <c r="U175" s="147">
        <f t="shared" si="61"/>
        <v>-717.94</v>
      </c>
      <c r="V175" s="147"/>
      <c r="W175" s="148">
        <f t="shared" si="80"/>
        <v>157.06</v>
      </c>
      <c r="X175" s="48"/>
      <c r="Y175" s="197">
        <f t="shared" si="81"/>
        <v>0.10470666666666667</v>
      </c>
      <c r="Z175" s="48"/>
      <c r="AA175" s="178">
        <f t="shared" si="82"/>
        <v>875</v>
      </c>
      <c r="AB175" s="147"/>
      <c r="AC175" s="147">
        <v>1500</v>
      </c>
      <c r="AD175" s="183"/>
      <c r="AE175" s="183">
        <f t="shared" si="62"/>
        <v>1342.94</v>
      </c>
    </row>
    <row r="176" spans="1:31" ht="16" x14ac:dyDescent="0.2">
      <c r="A176" s="32"/>
      <c r="B176" s="32"/>
      <c r="C176" s="32"/>
      <c r="D176" s="32" t="s">
        <v>153</v>
      </c>
      <c r="E176" s="32"/>
      <c r="F176" s="32"/>
      <c r="G176" s="129"/>
      <c r="H176" s="146">
        <v>10.99</v>
      </c>
      <c r="I176" s="147">
        <v>509.49</v>
      </c>
      <c r="J176" s="147">
        <v>10.99</v>
      </c>
      <c r="K176" s="147"/>
      <c r="L176" s="147">
        <v>21.99</v>
      </c>
      <c r="M176" s="147"/>
      <c r="N176" s="147">
        <v>481.97</v>
      </c>
      <c r="O176" s="147"/>
      <c r="P176" s="147"/>
      <c r="Q176" s="147"/>
      <c r="R176" s="147"/>
      <c r="S176" s="257"/>
      <c r="T176" s="229">
        <f t="shared" si="79"/>
        <v>208.33333333333334</v>
      </c>
      <c r="U176" s="147">
        <f t="shared" si="61"/>
        <v>-422.90333333333342</v>
      </c>
      <c r="V176" s="147"/>
      <c r="W176" s="148">
        <f t="shared" si="80"/>
        <v>1035.43</v>
      </c>
      <c r="X176" s="48"/>
      <c r="Y176" s="197">
        <f t="shared" si="81"/>
        <v>0.41417200000000004</v>
      </c>
      <c r="Z176" s="48"/>
      <c r="AA176" s="178">
        <f t="shared" si="82"/>
        <v>1458.3333333333335</v>
      </c>
      <c r="AB176" s="147"/>
      <c r="AC176" s="147">
        <v>2500</v>
      </c>
      <c r="AD176" s="183"/>
      <c r="AE176" s="183">
        <f t="shared" si="62"/>
        <v>1464.57</v>
      </c>
    </row>
    <row r="177" spans="1:31" ht="16" x14ac:dyDescent="0.2">
      <c r="A177" s="32"/>
      <c r="B177" s="32"/>
      <c r="C177" s="32"/>
      <c r="D177" s="32" t="s">
        <v>154</v>
      </c>
      <c r="E177" s="32"/>
      <c r="F177" s="32"/>
      <c r="G177" s="129"/>
      <c r="H177" s="146">
        <v>126.7</v>
      </c>
      <c r="I177" s="147">
        <v>373.76</v>
      </c>
      <c r="J177" s="147">
        <v>568.83000000000004</v>
      </c>
      <c r="K177" s="147">
        <v>126.7</v>
      </c>
      <c r="L177" s="147">
        <v>226.16</v>
      </c>
      <c r="M177" s="147">
        <v>435.98</v>
      </c>
      <c r="N177" s="147">
        <v>375.92</v>
      </c>
      <c r="O177" s="147"/>
      <c r="P177" s="147"/>
      <c r="Q177" s="147"/>
      <c r="R177" s="147"/>
      <c r="S177" s="257"/>
      <c r="T177" s="229">
        <f t="shared" si="79"/>
        <v>333.33333333333331</v>
      </c>
      <c r="U177" s="147">
        <f t="shared" si="61"/>
        <v>-99.283333333332848</v>
      </c>
      <c r="V177" s="147"/>
      <c r="W177" s="148">
        <f t="shared" si="80"/>
        <v>2234.0500000000002</v>
      </c>
      <c r="X177" s="48"/>
      <c r="Y177" s="197">
        <f t="shared" si="81"/>
        <v>0.55851250000000008</v>
      </c>
      <c r="Z177" s="48"/>
      <c r="AA177" s="178">
        <f t="shared" si="82"/>
        <v>2333.333333333333</v>
      </c>
      <c r="AB177" s="147"/>
      <c r="AC177" s="147">
        <v>4000</v>
      </c>
      <c r="AD177" s="183"/>
      <c r="AE177" s="183">
        <f t="shared" si="62"/>
        <v>1765.9499999999998</v>
      </c>
    </row>
    <row r="178" spans="1:31" ht="16" x14ac:dyDescent="0.2">
      <c r="A178" s="32"/>
      <c r="B178" s="32"/>
      <c r="C178" s="32"/>
      <c r="D178" s="32" t="s">
        <v>155</v>
      </c>
      <c r="E178" s="32"/>
      <c r="F178" s="32"/>
      <c r="G178" s="129"/>
      <c r="H178" s="146"/>
      <c r="I178" s="147">
        <v>0</v>
      </c>
      <c r="J178" s="147">
        <v>0</v>
      </c>
      <c r="K178" s="147"/>
      <c r="L178" s="147">
        <v>9.6</v>
      </c>
      <c r="M178" s="147"/>
      <c r="N178" s="147"/>
      <c r="O178" s="147"/>
      <c r="P178" s="147"/>
      <c r="Q178" s="147"/>
      <c r="R178" s="147"/>
      <c r="S178" s="257"/>
      <c r="T178" s="229">
        <f t="shared" si="79"/>
        <v>83.333333333333329</v>
      </c>
      <c r="U178" s="147">
        <f t="shared" si="61"/>
        <v>-573.73333333333323</v>
      </c>
      <c r="V178" s="147"/>
      <c r="W178" s="148">
        <f t="shared" si="80"/>
        <v>9.6</v>
      </c>
      <c r="X178" s="48"/>
      <c r="Y178" s="197">
        <f t="shared" si="81"/>
        <v>9.5999999999999992E-3</v>
      </c>
      <c r="Z178" s="48"/>
      <c r="AA178" s="178">
        <f t="shared" si="82"/>
        <v>583.33333333333326</v>
      </c>
      <c r="AB178" s="147"/>
      <c r="AC178" s="147">
        <v>1000</v>
      </c>
      <c r="AD178" s="183"/>
      <c r="AE178" s="183">
        <f t="shared" si="62"/>
        <v>990.4</v>
      </c>
    </row>
    <row r="179" spans="1:31" ht="16" x14ac:dyDescent="0.2">
      <c r="A179" s="32"/>
      <c r="B179" s="32"/>
      <c r="C179" s="32"/>
      <c r="D179" s="32" t="s">
        <v>156</v>
      </c>
      <c r="E179" s="32"/>
      <c r="F179" s="32"/>
      <c r="G179" s="129"/>
      <c r="H179" s="146"/>
      <c r="I179" s="147">
        <v>2062.3000000000002</v>
      </c>
      <c r="J179" s="147">
        <v>186.09</v>
      </c>
      <c r="K179" s="147">
        <v>0</v>
      </c>
      <c r="L179" s="147">
        <v>13.88</v>
      </c>
      <c r="M179" s="147">
        <v>214.65</v>
      </c>
      <c r="N179" s="147">
        <v>38.85</v>
      </c>
      <c r="O179" s="147"/>
      <c r="P179" s="147"/>
      <c r="Q179" s="147"/>
      <c r="R179" s="147"/>
      <c r="S179" s="257"/>
      <c r="T179" s="229">
        <f t="shared" si="79"/>
        <v>416.66666666666669</v>
      </c>
      <c r="U179" s="147">
        <f t="shared" si="61"/>
        <v>-400.89666666666653</v>
      </c>
      <c r="V179" s="147"/>
      <c r="W179" s="148">
        <f t="shared" si="80"/>
        <v>2515.7700000000004</v>
      </c>
      <c r="X179" s="48"/>
      <c r="Y179" s="197">
        <f t="shared" si="81"/>
        <v>0.5031540000000001</v>
      </c>
      <c r="Z179" s="48"/>
      <c r="AA179" s="178">
        <f t="shared" si="82"/>
        <v>2916.666666666667</v>
      </c>
      <c r="AB179" s="147"/>
      <c r="AC179" s="147">
        <v>5000</v>
      </c>
      <c r="AD179" s="183"/>
      <c r="AE179" s="183">
        <f t="shared" si="62"/>
        <v>2484.2299999999996</v>
      </c>
    </row>
    <row r="180" spans="1:31" ht="16" x14ac:dyDescent="0.2">
      <c r="A180" s="32"/>
      <c r="B180" s="32"/>
      <c r="C180" s="32"/>
      <c r="D180" s="32" t="s">
        <v>157</v>
      </c>
      <c r="E180" s="32"/>
      <c r="F180" s="32"/>
      <c r="G180" s="129"/>
      <c r="H180" s="146">
        <v>110.96</v>
      </c>
      <c r="I180" s="147">
        <v>103.17</v>
      </c>
      <c r="J180" s="147">
        <v>117.16</v>
      </c>
      <c r="K180" s="147">
        <v>44.58</v>
      </c>
      <c r="L180" s="147">
        <v>0</v>
      </c>
      <c r="M180" s="147">
        <v>170.34</v>
      </c>
      <c r="N180" s="147"/>
      <c r="O180" s="147"/>
      <c r="P180" s="147"/>
      <c r="Q180" s="147"/>
      <c r="R180" s="147"/>
      <c r="S180" s="257"/>
      <c r="T180" s="229">
        <f t="shared" si="79"/>
        <v>166.66666666666666</v>
      </c>
      <c r="U180" s="147">
        <f t="shared" si="61"/>
        <v>-620.45666666666659</v>
      </c>
      <c r="V180" s="147"/>
      <c r="W180" s="148">
        <f t="shared" si="80"/>
        <v>546.20999999999992</v>
      </c>
      <c r="X180" s="48"/>
      <c r="Y180" s="197">
        <f t="shared" si="81"/>
        <v>0.27310499999999999</v>
      </c>
      <c r="Z180" s="48"/>
      <c r="AA180" s="178">
        <f t="shared" si="82"/>
        <v>1166.6666666666665</v>
      </c>
      <c r="AB180" s="147"/>
      <c r="AC180" s="147">
        <v>2000</v>
      </c>
      <c r="AD180" s="183"/>
      <c r="AE180" s="183">
        <f t="shared" si="62"/>
        <v>1453.79</v>
      </c>
    </row>
    <row r="181" spans="1:31" ht="16" x14ac:dyDescent="0.2">
      <c r="A181" s="32"/>
      <c r="B181" s="32"/>
      <c r="C181" s="32"/>
      <c r="D181" s="32" t="s">
        <v>158</v>
      </c>
      <c r="E181" s="32"/>
      <c r="F181" s="32"/>
      <c r="G181" s="129"/>
      <c r="H181" s="146"/>
      <c r="I181" s="147">
        <v>1629.54</v>
      </c>
      <c r="J181" s="147">
        <v>204.18</v>
      </c>
      <c r="K181" s="147">
        <v>-204.18</v>
      </c>
      <c r="L181" s="147"/>
      <c r="M181" s="147"/>
      <c r="N181" s="147"/>
      <c r="O181" s="147"/>
      <c r="P181" s="147"/>
      <c r="Q181" s="147"/>
      <c r="R181" s="147"/>
      <c r="S181" s="257"/>
      <c r="T181" s="229">
        <f t="shared" si="79"/>
        <v>250</v>
      </c>
      <c r="U181" s="147">
        <f t="shared" si="61"/>
        <v>-120.46000000000004</v>
      </c>
      <c r="V181" s="147"/>
      <c r="W181" s="148">
        <f t="shared" si="80"/>
        <v>1629.54</v>
      </c>
      <c r="X181" s="48"/>
      <c r="Y181" s="197">
        <f t="shared" si="81"/>
        <v>0.54318</v>
      </c>
      <c r="Z181" s="48"/>
      <c r="AA181" s="178">
        <f t="shared" si="82"/>
        <v>1750</v>
      </c>
      <c r="AB181" s="147"/>
      <c r="AC181" s="147">
        <v>3000</v>
      </c>
      <c r="AD181" s="183"/>
      <c r="AE181" s="183">
        <f t="shared" si="62"/>
        <v>1370.46</v>
      </c>
    </row>
    <row r="182" spans="1:31" ht="16" x14ac:dyDescent="0.2">
      <c r="A182" s="32"/>
      <c r="B182" s="32"/>
      <c r="C182" s="32"/>
      <c r="D182" s="32"/>
      <c r="E182" s="32"/>
      <c r="F182" s="32"/>
      <c r="G182" s="129"/>
      <c r="H182" s="146"/>
      <c r="I182" s="147"/>
      <c r="J182" s="147"/>
      <c r="K182" s="147"/>
      <c r="L182" s="147"/>
      <c r="M182" s="147"/>
      <c r="N182" s="147"/>
      <c r="O182" s="147"/>
      <c r="P182" s="147"/>
      <c r="Q182" s="147"/>
      <c r="R182" s="147"/>
      <c r="S182" s="257"/>
      <c r="T182" s="229"/>
      <c r="U182" s="147"/>
      <c r="V182" s="147"/>
      <c r="W182" s="148"/>
      <c r="X182" s="48"/>
      <c r="Y182" s="197"/>
      <c r="Z182" s="48"/>
      <c r="AA182" s="178"/>
      <c r="AB182" s="147"/>
      <c r="AC182" s="147"/>
      <c r="AD182" s="183"/>
      <c r="AE182" s="183"/>
    </row>
    <row r="183" spans="1:31" ht="16" x14ac:dyDescent="0.2">
      <c r="A183" s="32"/>
      <c r="B183" s="32"/>
      <c r="C183" s="32"/>
      <c r="D183" s="32" t="s">
        <v>159</v>
      </c>
      <c r="E183" s="32"/>
      <c r="F183" s="32"/>
      <c r="G183" s="129"/>
      <c r="H183" s="146"/>
      <c r="I183" s="147"/>
      <c r="J183" s="147"/>
      <c r="K183" s="147"/>
      <c r="L183" s="147"/>
      <c r="M183" s="147"/>
      <c r="N183" s="147"/>
      <c r="O183" s="147"/>
      <c r="P183" s="147"/>
      <c r="Q183" s="147"/>
      <c r="R183" s="147"/>
      <c r="S183" s="257"/>
      <c r="T183" s="229">
        <f t="shared" si="79"/>
        <v>0</v>
      </c>
      <c r="U183" s="147">
        <f t="shared" si="61"/>
        <v>0</v>
      </c>
      <c r="V183" s="147"/>
      <c r="W183" s="148">
        <f t="shared" si="80"/>
        <v>0</v>
      </c>
      <c r="X183" s="48"/>
      <c r="Y183" s="197" t="e">
        <f t="shared" si="81"/>
        <v>#DIV/0!</v>
      </c>
      <c r="Z183" s="48"/>
      <c r="AA183" s="178">
        <f t="shared" si="82"/>
        <v>0</v>
      </c>
      <c r="AB183" s="147"/>
      <c r="AC183" s="147">
        <v>0</v>
      </c>
      <c r="AD183" s="183"/>
      <c r="AE183" s="183">
        <f t="shared" si="62"/>
        <v>0</v>
      </c>
    </row>
    <row r="184" spans="1:31" ht="16" x14ac:dyDescent="0.2">
      <c r="A184" s="32"/>
      <c r="B184" s="32"/>
      <c r="C184" s="32"/>
      <c r="D184" s="32" t="s">
        <v>160</v>
      </c>
      <c r="E184" s="32"/>
      <c r="F184" s="32"/>
      <c r="G184" s="129"/>
      <c r="H184" s="146">
        <v>1600</v>
      </c>
      <c r="I184" s="147"/>
      <c r="J184" s="147"/>
      <c r="K184" s="147"/>
      <c r="L184" s="147"/>
      <c r="M184" s="147"/>
      <c r="N184" s="147"/>
      <c r="O184" s="147"/>
      <c r="P184" s="147"/>
      <c r="Q184" s="147"/>
      <c r="R184" s="147"/>
      <c r="S184" s="257"/>
      <c r="T184" s="229">
        <f t="shared" si="79"/>
        <v>137.5</v>
      </c>
      <c r="U184" s="147">
        <f t="shared" si="61"/>
        <v>637.5</v>
      </c>
      <c r="V184" s="147"/>
      <c r="W184" s="148">
        <f t="shared" si="80"/>
        <v>1600</v>
      </c>
      <c r="X184" s="48"/>
      <c r="Y184" s="197">
        <f t="shared" si="81"/>
        <v>0.96969696969696972</v>
      </c>
      <c r="Z184" s="48"/>
      <c r="AA184" s="178">
        <f t="shared" si="82"/>
        <v>962.5</v>
      </c>
      <c r="AB184" s="147"/>
      <c r="AC184" s="147">
        <v>1650</v>
      </c>
      <c r="AD184" s="183"/>
      <c r="AE184" s="183">
        <v>1100</v>
      </c>
    </row>
    <row r="185" spans="1:31" ht="16" x14ac:dyDescent="0.2">
      <c r="A185" s="32"/>
      <c r="B185" s="32"/>
      <c r="C185" s="32"/>
      <c r="D185" s="32" t="s">
        <v>161</v>
      </c>
      <c r="E185" s="32"/>
      <c r="F185" s="32"/>
      <c r="G185" s="129"/>
      <c r="H185" s="146">
        <v>151.25</v>
      </c>
      <c r="I185" s="147">
        <v>151.25</v>
      </c>
      <c r="J185" s="147">
        <v>151.25</v>
      </c>
      <c r="K185" s="147">
        <v>151.25</v>
      </c>
      <c r="L185" s="147">
        <v>151.25</v>
      </c>
      <c r="M185" s="147">
        <v>151.25</v>
      </c>
      <c r="N185" s="147">
        <v>151.25</v>
      </c>
      <c r="O185" s="147"/>
      <c r="P185" s="147"/>
      <c r="Q185" s="147"/>
      <c r="R185" s="147"/>
      <c r="S185" s="257"/>
      <c r="T185" s="229">
        <f t="shared" si="79"/>
        <v>141.66666666666666</v>
      </c>
      <c r="U185" s="147">
        <f t="shared" si="61"/>
        <v>67.083333333333371</v>
      </c>
      <c r="V185" s="147"/>
      <c r="W185" s="148">
        <f t="shared" si="80"/>
        <v>1058.75</v>
      </c>
      <c r="X185" s="48"/>
      <c r="Y185" s="197">
        <f t="shared" si="81"/>
        <v>0.62279411764705883</v>
      </c>
      <c r="Z185" s="48"/>
      <c r="AA185" s="178">
        <f t="shared" si="82"/>
        <v>991.66666666666663</v>
      </c>
      <c r="AB185" s="147"/>
      <c r="AC185" s="147">
        <v>1700</v>
      </c>
      <c r="AD185" s="183"/>
      <c r="AE185" s="183">
        <f t="shared" si="62"/>
        <v>641.25</v>
      </c>
    </row>
    <row r="186" spans="1:31" ht="16" x14ac:dyDescent="0.2">
      <c r="A186" s="32"/>
      <c r="B186" s="32"/>
      <c r="C186" s="32"/>
      <c r="D186" s="32" t="s">
        <v>162</v>
      </c>
      <c r="E186" s="32"/>
      <c r="F186" s="32"/>
      <c r="G186" s="129"/>
      <c r="H186" s="146"/>
      <c r="I186" s="147"/>
      <c r="J186" s="147"/>
      <c r="K186" s="147"/>
      <c r="L186" s="147"/>
      <c r="M186" s="147"/>
      <c r="N186" s="147"/>
      <c r="O186" s="147"/>
      <c r="P186" s="147"/>
      <c r="Q186" s="147"/>
      <c r="R186" s="147"/>
      <c r="S186" s="257"/>
      <c r="T186" s="229">
        <f t="shared" si="79"/>
        <v>0</v>
      </c>
      <c r="U186" s="147">
        <f t="shared" si="61"/>
        <v>0</v>
      </c>
      <c r="V186" s="147"/>
      <c r="W186" s="148">
        <f t="shared" si="80"/>
        <v>0</v>
      </c>
      <c r="X186" s="48"/>
      <c r="Y186" s="197"/>
      <c r="Z186" s="48"/>
      <c r="AA186" s="178">
        <f t="shared" si="82"/>
        <v>0</v>
      </c>
      <c r="AB186" s="147"/>
      <c r="AC186" s="147"/>
      <c r="AD186" s="183"/>
      <c r="AE186" s="183">
        <f t="shared" si="62"/>
        <v>0</v>
      </c>
    </row>
    <row r="187" spans="1:31" ht="16" x14ac:dyDescent="0.2">
      <c r="A187" s="32"/>
      <c r="B187" s="32"/>
      <c r="C187" s="32"/>
      <c r="D187" s="32" t="s">
        <v>163</v>
      </c>
      <c r="E187" s="32"/>
      <c r="F187" s="32"/>
      <c r="G187" s="129"/>
      <c r="H187" s="146"/>
      <c r="I187" s="147"/>
      <c r="J187" s="147"/>
      <c r="K187" s="147"/>
      <c r="L187" s="147"/>
      <c r="M187" s="147"/>
      <c r="N187" s="147"/>
      <c r="O187" s="147"/>
      <c r="P187" s="147"/>
      <c r="Q187" s="147"/>
      <c r="R187" s="147"/>
      <c r="S187" s="257"/>
      <c r="T187" s="229">
        <f t="shared" si="79"/>
        <v>0</v>
      </c>
      <c r="U187" s="147">
        <f t="shared" si="61"/>
        <v>0</v>
      </c>
      <c r="V187" s="147"/>
      <c r="W187" s="148">
        <f t="shared" si="80"/>
        <v>0</v>
      </c>
      <c r="X187" s="48"/>
      <c r="Y187" s="197"/>
      <c r="Z187" s="48"/>
      <c r="AA187" s="178">
        <f t="shared" si="82"/>
        <v>0</v>
      </c>
      <c r="AB187" s="147"/>
      <c r="AC187" s="147"/>
      <c r="AD187" s="183"/>
      <c r="AE187" s="183">
        <f t="shared" si="62"/>
        <v>0</v>
      </c>
    </row>
    <row r="188" spans="1:31" ht="16" x14ac:dyDescent="0.2">
      <c r="A188" s="32"/>
      <c r="B188" s="32"/>
      <c r="C188" s="32" t="s">
        <v>216</v>
      </c>
      <c r="D188" s="32"/>
      <c r="E188" s="32"/>
      <c r="F188" s="32"/>
      <c r="G188" s="129"/>
      <c r="H188" s="146"/>
      <c r="I188" s="147"/>
      <c r="J188" s="147"/>
      <c r="K188" s="147"/>
      <c r="L188" s="147"/>
      <c r="M188" s="147"/>
      <c r="N188" s="147"/>
      <c r="O188" s="147"/>
      <c r="P188" s="147"/>
      <c r="Q188" s="147"/>
      <c r="R188" s="147"/>
      <c r="S188" s="257"/>
      <c r="T188" s="229">
        <f t="shared" si="79"/>
        <v>0</v>
      </c>
      <c r="U188" s="147">
        <f t="shared" si="61"/>
        <v>0</v>
      </c>
      <c r="V188" s="147"/>
      <c r="W188" s="148">
        <f t="shared" si="80"/>
        <v>0</v>
      </c>
      <c r="X188" s="48"/>
      <c r="Y188" s="197"/>
      <c r="Z188" s="48"/>
      <c r="AA188" s="178"/>
      <c r="AB188" s="147"/>
      <c r="AC188" s="147"/>
      <c r="AD188" s="183"/>
      <c r="AE188" s="183"/>
    </row>
    <row r="189" spans="1:31" ht="16" x14ac:dyDescent="0.2">
      <c r="A189" s="32"/>
      <c r="B189" s="32"/>
      <c r="C189" s="93" t="s">
        <v>203</v>
      </c>
      <c r="D189" s="93"/>
      <c r="E189" s="93"/>
      <c r="F189" s="93"/>
      <c r="G189" s="130"/>
      <c r="H189" s="149"/>
      <c r="I189" s="150"/>
      <c r="J189" s="150"/>
      <c r="K189" s="150"/>
      <c r="L189" s="150"/>
      <c r="M189" s="150"/>
      <c r="N189" s="150"/>
      <c r="O189" s="150"/>
      <c r="P189" s="150"/>
      <c r="Q189" s="150"/>
      <c r="R189" s="150"/>
      <c r="S189" s="258"/>
      <c r="T189" s="230"/>
      <c r="U189" s="150"/>
      <c r="V189" s="150"/>
      <c r="W189" s="150"/>
      <c r="X189" s="94"/>
      <c r="Y189" s="205"/>
      <c r="Z189" s="94"/>
      <c r="AA189" s="150"/>
      <c r="AB189" s="150"/>
      <c r="AC189" s="150"/>
      <c r="AD189" s="184"/>
      <c r="AE189" s="184"/>
    </row>
    <row r="190" spans="1:31" ht="16" x14ac:dyDescent="0.2">
      <c r="A190" s="32"/>
      <c r="B190" s="32"/>
      <c r="C190" s="32"/>
      <c r="D190" s="32"/>
      <c r="E190" s="32" t="s">
        <v>164</v>
      </c>
      <c r="F190" s="22"/>
      <c r="G190" s="129"/>
      <c r="H190" s="146">
        <v>1759.5</v>
      </c>
      <c r="I190" s="147">
        <v>2137.5</v>
      </c>
      <c r="J190" s="147">
        <v>-742.98</v>
      </c>
      <c r="K190" s="147">
        <v>-318.5</v>
      </c>
      <c r="L190" s="147">
        <v>1128.45</v>
      </c>
      <c r="M190" s="147"/>
      <c r="N190" s="147">
        <v>822.5</v>
      </c>
      <c r="O190" s="147"/>
      <c r="P190" s="147"/>
      <c r="Q190" s="147"/>
      <c r="R190" s="147"/>
      <c r="S190" s="257"/>
      <c r="T190" s="229">
        <f>AC190/12</f>
        <v>1666.6666666666667</v>
      </c>
      <c r="U190" s="147">
        <f>W190-AA190</f>
        <v>-6880.1966666666676</v>
      </c>
      <c r="V190" s="147"/>
      <c r="W190" s="148">
        <f t="shared" ref="W190:W198" si="83">SUM(H190:S190)</f>
        <v>4786.47</v>
      </c>
      <c r="X190" s="48"/>
      <c r="Y190" s="197">
        <f t="shared" ref="Y190:Y193" si="84">W190/AC190</f>
        <v>0.23932350000000002</v>
      </c>
      <c r="Z190" s="48"/>
      <c r="AA190" s="178">
        <f t="shared" si="82"/>
        <v>11666.666666666668</v>
      </c>
      <c r="AB190" s="147"/>
      <c r="AC190" s="147">
        <v>20000</v>
      </c>
      <c r="AD190" s="183"/>
      <c r="AE190" s="183">
        <f t="shared" si="62"/>
        <v>15213.529999999999</v>
      </c>
    </row>
    <row r="191" spans="1:31" ht="16" x14ac:dyDescent="0.2">
      <c r="A191" s="32"/>
      <c r="B191" s="32"/>
      <c r="C191" s="32"/>
      <c r="D191" s="32"/>
      <c r="E191" s="32" t="s">
        <v>221</v>
      </c>
      <c r="F191" s="22"/>
      <c r="G191" s="129"/>
      <c r="H191" s="146">
        <v>226.27</v>
      </c>
      <c r="I191" s="147">
        <v>48.61</v>
      </c>
      <c r="J191" s="147">
        <v>120.43</v>
      </c>
      <c r="K191" s="147">
        <v>-41.25</v>
      </c>
      <c r="L191" s="147">
        <v>140.72</v>
      </c>
      <c r="M191" s="147"/>
      <c r="N191" s="147">
        <v>62.93</v>
      </c>
      <c r="O191" s="147"/>
      <c r="P191" s="147"/>
      <c r="Q191" s="147"/>
      <c r="R191" s="147"/>
      <c r="S191" s="257"/>
      <c r="T191" s="229">
        <f>AC191/12</f>
        <v>220</v>
      </c>
      <c r="U191" s="147">
        <f t="shared" si="61"/>
        <v>-982.29000000000008</v>
      </c>
      <c r="V191" s="147"/>
      <c r="W191" s="148">
        <f t="shared" si="83"/>
        <v>557.70999999999992</v>
      </c>
      <c r="X191" s="48"/>
      <c r="Y191" s="197">
        <f t="shared" si="84"/>
        <v>0.21125378787878785</v>
      </c>
      <c r="Z191" s="48"/>
      <c r="AA191" s="178">
        <f t="shared" si="82"/>
        <v>1540</v>
      </c>
      <c r="AB191" s="147"/>
      <c r="AC191" s="147">
        <v>2640</v>
      </c>
      <c r="AD191" s="183"/>
      <c r="AE191" s="183">
        <f t="shared" si="62"/>
        <v>2082.29</v>
      </c>
    </row>
    <row r="192" spans="1:31" ht="16" x14ac:dyDescent="0.2">
      <c r="A192" s="32"/>
      <c r="B192" s="32"/>
      <c r="C192" s="32"/>
      <c r="D192" s="105" t="s">
        <v>165</v>
      </c>
      <c r="E192" s="105"/>
      <c r="F192" s="105"/>
      <c r="G192" s="131"/>
      <c r="H192" s="151">
        <f t="shared" ref="H192:S192" si="85">SUM(H190:H191)</f>
        <v>1985.77</v>
      </c>
      <c r="I192" s="152">
        <f t="shared" si="85"/>
        <v>2186.11</v>
      </c>
      <c r="J192" s="152">
        <f t="shared" si="85"/>
        <v>-622.54999999999995</v>
      </c>
      <c r="K192" s="152">
        <f t="shared" si="85"/>
        <v>-359.75</v>
      </c>
      <c r="L192" s="152">
        <f t="shared" si="85"/>
        <v>1269.17</v>
      </c>
      <c r="M192" s="152">
        <f t="shared" si="85"/>
        <v>0</v>
      </c>
      <c r="N192" s="152">
        <f t="shared" si="85"/>
        <v>885.43</v>
      </c>
      <c r="O192" s="152">
        <f t="shared" si="85"/>
        <v>0</v>
      </c>
      <c r="P192" s="152">
        <f t="shared" si="85"/>
        <v>0</v>
      </c>
      <c r="Q192" s="152">
        <f t="shared" si="85"/>
        <v>0</v>
      </c>
      <c r="R192" s="152">
        <f t="shared" si="85"/>
        <v>0</v>
      </c>
      <c r="S192" s="259">
        <f t="shared" si="85"/>
        <v>0</v>
      </c>
      <c r="T192" s="231">
        <f>AC192/12</f>
        <v>1886.6666666666667</v>
      </c>
      <c r="U192" s="152">
        <f>SUM(U190:U191)</f>
        <v>-7862.4866666666676</v>
      </c>
      <c r="V192" s="152"/>
      <c r="W192" s="152">
        <f t="shared" si="83"/>
        <v>5344.18</v>
      </c>
      <c r="X192" s="103"/>
      <c r="Y192" s="200">
        <f t="shared" si="84"/>
        <v>0.23605035335689048</v>
      </c>
      <c r="Z192" s="103"/>
      <c r="AA192" s="152">
        <f>SUM(AA190:AA191)</f>
        <v>13206.666666666668</v>
      </c>
      <c r="AB192" s="152">
        <f>SUM(AB190:AB191)</f>
        <v>0</v>
      </c>
      <c r="AC192" s="152">
        <f>SUM(AC190:AC191)</f>
        <v>22640</v>
      </c>
      <c r="AD192" s="192"/>
      <c r="AE192" s="152">
        <f>SUM(AE190:AE191)</f>
        <v>17295.82</v>
      </c>
    </row>
    <row r="193" spans="1:31" ht="16" x14ac:dyDescent="0.2">
      <c r="A193" s="32"/>
      <c r="B193" s="32"/>
      <c r="C193" s="32" t="s">
        <v>166</v>
      </c>
      <c r="D193" s="32"/>
      <c r="E193" s="32"/>
      <c r="F193" s="32"/>
      <c r="G193" s="129"/>
      <c r="H193" s="146">
        <f>H174+H175+H176+H177+H178+H179+H180+H181+H182+H183+H184+H185+H190+H191+H188</f>
        <v>4454.42</v>
      </c>
      <c r="I193" s="146">
        <f t="shared" ref="I193:S193" si="86">I174+I175+I176+I177+I178+I179+I180+I181+I182+I183+I184+I185+I190+I191+I188</f>
        <v>7532.88</v>
      </c>
      <c r="J193" s="146">
        <f t="shared" si="86"/>
        <v>615.95000000000005</v>
      </c>
      <c r="K193" s="146">
        <f t="shared" si="86"/>
        <v>47.889999999999986</v>
      </c>
      <c r="L193" s="146">
        <f t="shared" si="86"/>
        <v>1910.17</v>
      </c>
      <c r="M193" s="146">
        <f t="shared" si="86"/>
        <v>1227.03</v>
      </c>
      <c r="N193" s="146">
        <f t="shared" si="86"/>
        <v>2145.23</v>
      </c>
      <c r="O193" s="146">
        <f t="shared" si="86"/>
        <v>0</v>
      </c>
      <c r="P193" s="146">
        <f t="shared" si="86"/>
        <v>0</v>
      </c>
      <c r="Q193" s="146">
        <f t="shared" si="86"/>
        <v>0</v>
      </c>
      <c r="R193" s="146">
        <f t="shared" si="86"/>
        <v>0</v>
      </c>
      <c r="S193" s="146">
        <f t="shared" si="86"/>
        <v>0</v>
      </c>
      <c r="T193" s="146">
        <f>T174+T175+T176+T177+T178+T179+T180+T181+T182+T183+T184+T185+T190+T191+T188</f>
        <v>3999.166666666667</v>
      </c>
      <c r="U193" s="146">
        <f>U174+U175+U176+U177+U178+U179+U180+U181+U182+U183+U184+U185+U190+U191+U188</f>
        <v>-10060.596666666668</v>
      </c>
      <c r="V193" s="147"/>
      <c r="W193" s="148">
        <f t="shared" si="83"/>
        <v>17933.57</v>
      </c>
      <c r="X193" s="48"/>
      <c r="Y193" s="197">
        <f t="shared" si="84"/>
        <v>0.37369389456136692</v>
      </c>
      <c r="Z193" s="48"/>
      <c r="AA193" s="178">
        <f>SUM(AA174:AA191)+AA186</f>
        <v>27994.166666666664</v>
      </c>
      <c r="AB193" s="147">
        <f>SUM(AB168:AB179)+AB186</f>
        <v>0</v>
      </c>
      <c r="AC193" s="147">
        <f>SUM(AC174:AC185)+AC192</f>
        <v>47990</v>
      </c>
      <c r="AD193" s="183"/>
      <c r="AE193" s="147">
        <f>SUM(AE168:AE179)+AE186</f>
        <v>1346826.3399999996</v>
      </c>
    </row>
    <row r="194" spans="1:31" ht="16" x14ac:dyDescent="0.2">
      <c r="A194" s="32"/>
      <c r="B194" s="32"/>
      <c r="C194" s="32" t="s">
        <v>242</v>
      </c>
      <c r="D194" s="32"/>
      <c r="E194" s="32"/>
      <c r="F194" s="32"/>
      <c r="G194" s="129"/>
      <c r="H194" s="146"/>
      <c r="I194" s="147"/>
      <c r="J194" s="147"/>
      <c r="K194" s="147"/>
      <c r="L194" s="147"/>
      <c r="M194" s="147"/>
      <c r="N194" s="147"/>
      <c r="O194" s="147"/>
      <c r="P194" s="147"/>
      <c r="Q194" s="147"/>
      <c r="R194" s="147"/>
      <c r="S194" s="257"/>
      <c r="T194" s="229"/>
      <c r="U194" s="147"/>
      <c r="V194" s="147"/>
      <c r="W194" s="148">
        <f t="shared" si="83"/>
        <v>0</v>
      </c>
      <c r="X194" s="48"/>
      <c r="Y194" s="281"/>
      <c r="Z194" s="48"/>
      <c r="AA194" s="178">
        <f t="shared" ref="AA194:AA199" si="87">AC194/12*$AI$5</f>
        <v>0</v>
      </c>
      <c r="AB194" s="147"/>
      <c r="AC194" s="147"/>
      <c r="AD194" s="183"/>
      <c r="AE194" s="147"/>
    </row>
    <row r="195" spans="1:31" ht="16" x14ac:dyDescent="0.2">
      <c r="A195" s="32"/>
      <c r="B195" s="32"/>
      <c r="C195" s="32"/>
      <c r="D195" s="32"/>
      <c r="E195" s="32" t="s">
        <v>244</v>
      </c>
      <c r="F195" s="32"/>
      <c r="G195" s="129"/>
      <c r="H195" s="146"/>
      <c r="I195" s="147"/>
      <c r="J195" s="147"/>
      <c r="K195" s="147"/>
      <c r="L195" s="147"/>
      <c r="M195" s="147">
        <v>761.73</v>
      </c>
      <c r="N195" s="147"/>
      <c r="O195" s="147"/>
      <c r="P195" s="147"/>
      <c r="Q195" s="147"/>
      <c r="R195" s="147"/>
      <c r="S195" s="257"/>
      <c r="T195" s="229">
        <f>AC195/12</f>
        <v>0</v>
      </c>
      <c r="U195" s="147"/>
      <c r="V195" s="147"/>
      <c r="W195" s="148">
        <f t="shared" si="83"/>
        <v>761.73</v>
      </c>
      <c r="X195" s="48"/>
      <c r="Y195" s="281"/>
      <c r="Z195" s="48"/>
      <c r="AA195" s="178">
        <f t="shared" si="87"/>
        <v>0</v>
      </c>
      <c r="AB195" s="147"/>
      <c r="AC195" s="147">
        <v>0</v>
      </c>
      <c r="AD195" s="183"/>
      <c r="AE195" s="147"/>
    </row>
    <row r="196" spans="1:31" ht="16" x14ac:dyDescent="0.2">
      <c r="A196" s="32"/>
      <c r="B196" s="32"/>
      <c r="C196" s="32"/>
      <c r="D196" s="32"/>
      <c r="E196" s="32"/>
      <c r="F196" s="32"/>
      <c r="G196" s="129"/>
      <c r="H196" s="146"/>
      <c r="I196" s="147"/>
      <c r="J196" s="147"/>
      <c r="K196" s="147"/>
      <c r="L196" s="147"/>
      <c r="M196" s="147"/>
      <c r="N196" s="147"/>
      <c r="O196" s="147"/>
      <c r="P196" s="147"/>
      <c r="Q196" s="147"/>
      <c r="R196" s="147"/>
      <c r="S196" s="257"/>
      <c r="T196" s="229">
        <f>AC196/12</f>
        <v>0</v>
      </c>
      <c r="U196" s="147"/>
      <c r="V196" s="147"/>
      <c r="W196" s="148">
        <f t="shared" si="83"/>
        <v>0</v>
      </c>
      <c r="X196" s="48"/>
      <c r="Y196" s="281"/>
      <c r="Z196" s="48"/>
      <c r="AA196" s="178">
        <f t="shared" si="87"/>
        <v>0</v>
      </c>
      <c r="AB196" s="147"/>
      <c r="AC196" s="147">
        <v>0</v>
      </c>
      <c r="AD196" s="183"/>
      <c r="AE196" s="147"/>
    </row>
    <row r="197" spans="1:31" ht="16" x14ac:dyDescent="0.2">
      <c r="A197" s="32"/>
      <c r="B197" s="32"/>
      <c r="C197" s="32"/>
      <c r="D197" s="32"/>
      <c r="E197" s="32"/>
      <c r="F197" s="32"/>
      <c r="G197" s="129"/>
      <c r="H197" s="146"/>
      <c r="I197" s="147"/>
      <c r="J197" s="147"/>
      <c r="K197" s="147"/>
      <c r="L197" s="147"/>
      <c r="M197" s="147"/>
      <c r="N197" s="147"/>
      <c r="O197" s="147"/>
      <c r="P197" s="147"/>
      <c r="Q197" s="147"/>
      <c r="R197" s="147"/>
      <c r="S197" s="257"/>
      <c r="T197" s="229">
        <f>AC197/12</f>
        <v>0</v>
      </c>
      <c r="U197" s="147"/>
      <c r="V197" s="147"/>
      <c r="W197" s="148">
        <f t="shared" si="83"/>
        <v>0</v>
      </c>
      <c r="X197" s="48"/>
      <c r="Y197" s="281"/>
      <c r="Z197" s="48"/>
      <c r="AA197" s="178">
        <f t="shared" si="87"/>
        <v>0</v>
      </c>
      <c r="AB197" s="147"/>
      <c r="AC197" s="147">
        <v>0</v>
      </c>
      <c r="AD197" s="183"/>
      <c r="AE197" s="147"/>
    </row>
    <row r="198" spans="1:31" ht="16" x14ac:dyDescent="0.2">
      <c r="A198" s="32"/>
      <c r="B198" s="32"/>
      <c r="C198" s="32"/>
      <c r="D198" s="105" t="s">
        <v>243</v>
      </c>
      <c r="E198" s="105"/>
      <c r="F198" s="105"/>
      <c r="G198" s="131"/>
      <c r="H198" s="151">
        <f t="shared" ref="H198:S198" si="88">SUM(H195:H197)</f>
        <v>0</v>
      </c>
      <c r="I198" s="151">
        <f t="shared" si="88"/>
        <v>0</v>
      </c>
      <c r="J198" s="151">
        <f t="shared" si="88"/>
        <v>0</v>
      </c>
      <c r="K198" s="151">
        <f t="shared" si="88"/>
        <v>0</v>
      </c>
      <c r="L198" s="151">
        <f t="shared" si="88"/>
        <v>0</v>
      </c>
      <c r="M198" s="151">
        <f t="shared" si="88"/>
        <v>761.73</v>
      </c>
      <c r="N198" s="151">
        <f t="shared" si="88"/>
        <v>0</v>
      </c>
      <c r="O198" s="151">
        <f t="shared" si="88"/>
        <v>0</v>
      </c>
      <c r="P198" s="151">
        <f t="shared" si="88"/>
        <v>0</v>
      </c>
      <c r="Q198" s="151">
        <f t="shared" si="88"/>
        <v>0</v>
      </c>
      <c r="R198" s="151">
        <f t="shared" si="88"/>
        <v>0</v>
      </c>
      <c r="S198" s="151">
        <f t="shared" si="88"/>
        <v>0</v>
      </c>
      <c r="T198" s="229">
        <f>AC198/12</f>
        <v>0</v>
      </c>
      <c r="U198" s="151">
        <f>SUM(U195:U197)</f>
        <v>0</v>
      </c>
      <c r="V198" s="48"/>
      <c r="W198" s="148">
        <f t="shared" si="83"/>
        <v>761.73</v>
      </c>
      <c r="X198" s="48"/>
      <c r="Y198" s="48"/>
      <c r="Z198" s="48"/>
      <c r="AA198" s="178">
        <f t="shared" si="87"/>
        <v>0</v>
      </c>
      <c r="AB198" s="147"/>
      <c r="AC198" s="151">
        <f>SUM(AC195:AC197)</f>
        <v>0</v>
      </c>
      <c r="AD198" s="183"/>
      <c r="AE198" s="147"/>
    </row>
    <row r="199" spans="1:31" ht="17" thickBot="1" x14ac:dyDescent="0.25">
      <c r="A199" s="32"/>
      <c r="B199" s="32"/>
      <c r="C199" s="32" t="s">
        <v>245</v>
      </c>
      <c r="D199" s="32"/>
      <c r="E199" s="32"/>
      <c r="F199" s="32"/>
      <c r="G199" s="129"/>
      <c r="H199" s="146">
        <f t="shared" ref="H199:U199" si="89">+H193+H198</f>
        <v>4454.42</v>
      </c>
      <c r="I199" s="146">
        <f t="shared" si="89"/>
        <v>7532.88</v>
      </c>
      <c r="J199" s="146">
        <f t="shared" si="89"/>
        <v>615.95000000000005</v>
      </c>
      <c r="K199" s="146">
        <f t="shared" si="89"/>
        <v>47.889999999999986</v>
      </c>
      <c r="L199" s="146">
        <f t="shared" si="89"/>
        <v>1910.17</v>
      </c>
      <c r="M199" s="146">
        <f t="shared" si="89"/>
        <v>1988.76</v>
      </c>
      <c r="N199" s="146">
        <f t="shared" si="89"/>
        <v>2145.23</v>
      </c>
      <c r="O199" s="146">
        <f t="shared" si="89"/>
        <v>0</v>
      </c>
      <c r="P199" s="146">
        <f t="shared" si="89"/>
        <v>0</v>
      </c>
      <c r="Q199" s="146">
        <f t="shared" si="89"/>
        <v>0</v>
      </c>
      <c r="R199" s="146">
        <f t="shared" si="89"/>
        <v>0</v>
      </c>
      <c r="S199" s="146">
        <f t="shared" si="89"/>
        <v>0</v>
      </c>
      <c r="T199" s="146">
        <f t="shared" si="89"/>
        <v>3999.166666666667</v>
      </c>
      <c r="U199" s="146">
        <f t="shared" si="89"/>
        <v>-10060.596666666668</v>
      </c>
      <c r="V199" s="147"/>
      <c r="W199" s="147">
        <f>SUM(W195:W197)+W193</f>
        <v>18695.3</v>
      </c>
      <c r="X199" s="48"/>
      <c r="Y199" s="197">
        <f t="shared" ref="Y199:Y202" si="90">W199/AC199</f>
        <v>0.38956657637007708</v>
      </c>
      <c r="Z199" s="48"/>
      <c r="AA199" s="178">
        <f t="shared" si="87"/>
        <v>27994.166666666664</v>
      </c>
      <c r="AB199" s="147">
        <f>SUM(AB174:AB185)+AB192</f>
        <v>0</v>
      </c>
      <c r="AC199" s="146">
        <f>+AC193+AC198</f>
        <v>47990</v>
      </c>
      <c r="AD199" s="183"/>
      <c r="AE199" s="147">
        <f>SUM(AE174:AE185)+AE192</f>
        <v>31106.429999999997</v>
      </c>
    </row>
    <row r="200" spans="1:31" ht="18" thickTop="1" thickBot="1" x14ac:dyDescent="0.25">
      <c r="A200" s="32"/>
      <c r="B200" s="109" t="s">
        <v>167</v>
      </c>
      <c r="C200" s="109"/>
      <c r="D200" s="109"/>
      <c r="E200" s="109"/>
      <c r="F200" s="109"/>
      <c r="G200" s="140"/>
      <c r="H200" s="172">
        <f t="shared" ref="H200:S200" si="91">H199</f>
        <v>4454.42</v>
      </c>
      <c r="I200" s="173">
        <f t="shared" si="91"/>
        <v>7532.88</v>
      </c>
      <c r="J200" s="173">
        <f t="shared" si="91"/>
        <v>615.95000000000005</v>
      </c>
      <c r="K200" s="173">
        <f t="shared" si="91"/>
        <v>47.889999999999986</v>
      </c>
      <c r="L200" s="173">
        <f t="shared" si="91"/>
        <v>1910.17</v>
      </c>
      <c r="M200" s="173">
        <f t="shared" si="91"/>
        <v>1988.76</v>
      </c>
      <c r="N200" s="173">
        <f t="shared" si="91"/>
        <v>2145.23</v>
      </c>
      <c r="O200" s="173">
        <f t="shared" si="91"/>
        <v>0</v>
      </c>
      <c r="P200" s="173">
        <f t="shared" si="91"/>
        <v>0</v>
      </c>
      <c r="Q200" s="173">
        <f t="shared" si="91"/>
        <v>0</v>
      </c>
      <c r="R200" s="173">
        <f t="shared" si="91"/>
        <v>0</v>
      </c>
      <c r="S200" s="272">
        <f t="shared" si="91"/>
        <v>0</v>
      </c>
      <c r="T200" s="242">
        <f>AC200/12</f>
        <v>3999.1666666666665</v>
      </c>
      <c r="U200" s="173">
        <f>U199</f>
        <v>-10060.596666666668</v>
      </c>
      <c r="V200" s="173"/>
      <c r="W200" s="174">
        <f>W199</f>
        <v>18695.3</v>
      </c>
      <c r="X200" s="96"/>
      <c r="Y200" s="208">
        <f t="shared" si="90"/>
        <v>0.38956657637007708</v>
      </c>
      <c r="Z200" s="96"/>
      <c r="AA200" s="191">
        <f>AA199</f>
        <v>27994.166666666664</v>
      </c>
      <c r="AB200" s="173"/>
      <c r="AC200" s="173">
        <f>AC199</f>
        <v>47990</v>
      </c>
      <c r="AD200" s="193"/>
      <c r="AE200" s="173">
        <f>AE199</f>
        <v>31106.429999999997</v>
      </c>
    </row>
    <row r="201" spans="1:31" ht="18" thickTop="1" thickBot="1" x14ac:dyDescent="0.25">
      <c r="A201" s="32"/>
      <c r="B201" s="32" t="s">
        <v>168</v>
      </c>
      <c r="C201" s="32"/>
      <c r="D201" s="32"/>
      <c r="E201" s="32"/>
      <c r="F201" s="32"/>
      <c r="G201" s="129"/>
      <c r="H201" s="157">
        <f>H171+H200</f>
        <v>234732.86000000002</v>
      </c>
      <c r="I201" s="155">
        <f t="shared" ref="I201:U201" si="92">I171+I200</f>
        <v>248478.56999999998</v>
      </c>
      <c r="J201" s="155">
        <f t="shared" si="92"/>
        <v>210049.07</v>
      </c>
      <c r="K201" s="155">
        <f t="shared" si="92"/>
        <v>339673.54000000004</v>
      </c>
      <c r="L201" s="155">
        <f t="shared" si="92"/>
        <v>164257.26</v>
      </c>
      <c r="M201" s="155">
        <f t="shared" si="92"/>
        <v>267946.75</v>
      </c>
      <c r="N201" s="155">
        <f t="shared" si="92"/>
        <v>176149.22</v>
      </c>
      <c r="O201" s="155">
        <f t="shared" si="92"/>
        <v>0</v>
      </c>
      <c r="P201" s="155">
        <f t="shared" si="92"/>
        <v>0</v>
      </c>
      <c r="Q201" s="155">
        <f t="shared" si="92"/>
        <v>0</v>
      </c>
      <c r="R201" s="155">
        <f t="shared" si="92"/>
        <v>0</v>
      </c>
      <c r="S201" s="262">
        <f t="shared" si="92"/>
        <v>0</v>
      </c>
      <c r="T201" s="233">
        <f>T171+T200</f>
        <v>173185.41666666666</v>
      </c>
      <c r="U201" s="155">
        <f t="shared" si="92"/>
        <v>-10060.596666666668</v>
      </c>
      <c r="V201" s="155"/>
      <c r="W201" s="156">
        <f>W171+W200</f>
        <v>1641287.27</v>
      </c>
      <c r="X201" s="53"/>
      <c r="Y201" s="199">
        <f t="shared" si="90"/>
        <v>0.78975436730864079</v>
      </c>
      <c r="Z201" s="53"/>
      <c r="AA201" s="180">
        <f>AA171+AA200</f>
        <v>1212297.9166666667</v>
      </c>
      <c r="AB201" s="155"/>
      <c r="AC201" s="155">
        <f>AC171+AC200</f>
        <v>2078225</v>
      </c>
      <c r="AD201" s="187"/>
      <c r="AE201" s="155">
        <f>AE171+AE200</f>
        <v>961036.66999999981</v>
      </c>
    </row>
    <row r="202" spans="1:31" ht="17" thickBot="1" x14ac:dyDescent="0.25">
      <c r="A202" s="32"/>
      <c r="B202" s="57" t="s">
        <v>169</v>
      </c>
      <c r="C202" s="57"/>
      <c r="D202" s="57"/>
      <c r="E202" s="57"/>
      <c r="F202" s="57"/>
      <c r="G202" s="134"/>
      <c r="H202" s="175">
        <f>SUM(H48-H201)</f>
        <v>102525.03</v>
      </c>
      <c r="I202" s="176">
        <f t="shared" ref="I202:S202" si="93">SUM(I7+I48-I201)</f>
        <v>88112.010000000097</v>
      </c>
      <c r="J202" s="176">
        <f t="shared" si="93"/>
        <v>118724.77000000002</v>
      </c>
      <c r="K202" s="176">
        <f t="shared" si="93"/>
        <v>22838.549999999988</v>
      </c>
      <c r="L202" s="176">
        <f t="shared" si="93"/>
        <v>188712.21999999997</v>
      </c>
      <c r="M202" s="176">
        <f t="shared" si="93"/>
        <v>63122.719999999972</v>
      </c>
      <c r="N202" s="176">
        <f t="shared" si="93"/>
        <v>155724.35</v>
      </c>
      <c r="O202" s="176">
        <f t="shared" si="93"/>
        <v>0</v>
      </c>
      <c r="P202" s="176">
        <f t="shared" si="93"/>
        <v>0</v>
      </c>
      <c r="Q202" s="176">
        <f t="shared" si="93"/>
        <v>0</v>
      </c>
      <c r="R202" s="176">
        <f t="shared" si="93"/>
        <v>0</v>
      </c>
      <c r="S202" s="273">
        <f t="shared" si="93"/>
        <v>0</v>
      </c>
      <c r="T202" s="243">
        <f>AC202/12</f>
        <v>157862.08333333334</v>
      </c>
      <c r="U202" s="176">
        <f>SUM(U7+U48-U201)</f>
        <v>73775.01666666659</v>
      </c>
      <c r="V202" s="176"/>
      <c r="W202" s="177">
        <f>SUM(W7+W48-W201)</f>
        <v>739759.64999999991</v>
      </c>
      <c r="X202" s="59"/>
      <c r="Y202" s="202">
        <f t="shared" si="90"/>
        <v>0.3905094636932554</v>
      </c>
      <c r="Z202" s="59"/>
      <c r="AA202" s="194">
        <f>SUM(AA7+AA48-AA201)</f>
        <v>1105034.5833333333</v>
      </c>
      <c r="AB202" s="176"/>
      <c r="AC202" s="195">
        <f>SUM(AC7+AC48-AC201)</f>
        <v>1894345</v>
      </c>
      <c r="AD202" s="196"/>
      <c r="AE202" s="162"/>
    </row>
    <row r="203" spans="1:31" ht="16" thickTop="1" x14ac:dyDescent="0.2"/>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vt:lpstr>
      <vt:lpstr>Budget Performance</vt:lpstr>
      <vt:lpstr>POST</vt:lpstr>
      <vt:lpstr>'Budget Performance'!Print_Area</vt:lpstr>
      <vt:lpstr>'Budget Performance'!Print_Titles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Ashford</dc:creator>
  <cp:lastModifiedBy>Katherine A Patton</cp:lastModifiedBy>
  <cp:lastPrinted>2023-02-15T21:05:06Z</cp:lastPrinted>
  <dcterms:created xsi:type="dcterms:W3CDTF">2014-10-05T16:58:56Z</dcterms:created>
  <dcterms:modified xsi:type="dcterms:W3CDTF">2023-02-24T02:09:49Z</dcterms:modified>
</cp:coreProperties>
</file>